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hidePivotFieldList="1" defaultThemeVersion="124226"/>
  <mc:AlternateContent xmlns:mc="http://schemas.openxmlformats.org/markup-compatibility/2006">
    <mc:Choice Requires="x15">
      <x15ac:absPath xmlns:x15ac="http://schemas.microsoft.com/office/spreadsheetml/2010/11/ac" url="C:\Users\roger\Dropbox\A Edrive\A Work\Salinity\Salf new\"/>
    </mc:Choice>
  </mc:AlternateContent>
  <xr:revisionPtr revIDLastSave="0" documentId="8_{2FDE04CA-A4EF-4176-A60B-90CB46E2F351}" xr6:coauthVersionLast="47" xr6:coauthVersionMax="47" xr10:uidLastSave="{00000000-0000-0000-0000-000000000000}"/>
  <bookViews>
    <workbookView xWindow="-28920" yWindow="-14490" windowWidth="29040" windowHeight="15840" tabRatio="741" xr2:uid="{00000000-000D-0000-FFFF-FFFF00000000}"/>
  </bookViews>
  <sheets>
    <sheet name="Front Page" sheetId="21" r:id="rId1"/>
    <sheet name="Instructions" sheetId="12" r:id="rId2"/>
    <sheet name="Quick Calculator" sheetId="7" r:id="rId3"/>
    <sheet name="Predictive Calculator" sheetId="1" r:id="rId4"/>
    <sheet name="Plant Salt Tolerance" sheetId="17" r:id="rId5"/>
    <sheet name="Soil Water Parameters" sheetId="20" r:id="rId6"/>
    <sheet name="Validation with Field Data" sheetId="2" state="veryHidden" r:id="rId7"/>
    <sheet name="Mixing Waters" sheetId="18" r:id="rId8"/>
    <sheet name="Plants by Category" sheetId="6" r:id="rId9"/>
    <sheet name="Plants by Tolerance" sheetId="10" r:id="rId10"/>
    <sheet name="Background &amp; Theory" sheetId="13" r:id="rId11"/>
    <sheet name="Limitations and Disclaimer" sheetId="4" r:id="rId12"/>
    <sheet name="Sheet1" sheetId="23" r:id="rId13"/>
    <sheet name="Abbreviations and Glossary" sheetId="16" r:id="rId14"/>
    <sheet name="Equations" sheetId="22" r:id="rId15"/>
    <sheet name="Reference Lists&amp;Tables" sheetId="3" state="hidden" r:id="rId16"/>
  </sheets>
  <definedNames>
    <definedName name="_Hlk15986462" localSheetId="13">'Abbreviations and Glossary'!$E$76</definedName>
    <definedName name="_xlnm.Print_Area" localSheetId="14">Equations!$A$1:$H$307</definedName>
    <definedName name="_xlnm.Print_Area" localSheetId="0">'Front Page'!$A$1:$W$40</definedName>
    <definedName name="_xlnm.Print_Area" localSheetId="1">Instructions!$A$1:$U$93</definedName>
    <definedName name="_xlnm.Print_Area" localSheetId="11">'Limitations and Disclaimer'!$A$1:$S$35</definedName>
    <definedName name="_xlnm.Print_Area" localSheetId="7">'Mixing Waters'!$A$1:$Y$55</definedName>
    <definedName name="_xlnm.Print_Area" localSheetId="4">'Plant Salt Tolerance'!$A$1:$K$26</definedName>
    <definedName name="_xlnm.Print_Area" localSheetId="3">'Predictive Calculator'!$A$1:$AL$83</definedName>
    <definedName name="_xlnm.Print_Area" localSheetId="2">'Quick Calculator'!$A$1:$AD$71</definedName>
    <definedName name="_xlnm.Print_Area" localSheetId="5">'Soil Water Parameters'!$A$1:$AV$83</definedName>
    <definedName name="solver_adj" localSheetId="7" hidden="1">'Mixing Waters'!$H$32,'Mixing Waters'!$H$33,'Mixing Waters'!$H$34,'Mixing Waters'!$H$35</definedName>
    <definedName name="solver_cvg" localSheetId="7" hidden="1">0.0001</definedName>
    <definedName name="solver_drv" localSheetId="7" hidden="1">1</definedName>
    <definedName name="solver_eng" localSheetId="7" hidden="1">1</definedName>
    <definedName name="solver_est" localSheetId="7" hidden="1">1</definedName>
    <definedName name="solver_itr" localSheetId="7" hidden="1">2147483647</definedName>
    <definedName name="solver_lhs1" localSheetId="7" hidden="1">'Mixing Waters'!$AH$58</definedName>
    <definedName name="solver_lhs10" localSheetId="7" hidden="1">'Mixing Waters'!$H$33</definedName>
    <definedName name="solver_lhs11" localSheetId="7" hidden="1">'Mixing Waters'!$H$34</definedName>
    <definedName name="solver_lhs12" localSheetId="7" hidden="1">'Mixing Waters'!$H$34</definedName>
    <definedName name="solver_lhs13" localSheetId="7" hidden="1">'Mixing Waters'!$H$34</definedName>
    <definedName name="solver_lhs14" localSheetId="7" hidden="1">'Mixing Waters'!$H$34</definedName>
    <definedName name="solver_lhs15" localSheetId="7" hidden="1">'Mixing Waters'!$H$35</definedName>
    <definedName name="solver_lhs16" localSheetId="7" hidden="1">'Mixing Waters'!$H$35</definedName>
    <definedName name="solver_lhs17" localSheetId="7" hidden="1">'Mixing Waters'!$H$35</definedName>
    <definedName name="solver_lhs18" localSheetId="7" hidden="1">'Mixing Waters'!$H$35</definedName>
    <definedName name="solver_lhs19" localSheetId="7" hidden="1">'Mixing Waters'!$H$36</definedName>
    <definedName name="solver_lhs2" localSheetId="7" hidden="1">'Mixing Waters'!$AH$60</definedName>
    <definedName name="solver_lhs3" localSheetId="7" hidden="1">'Mixing Waters'!$H$32</definedName>
    <definedName name="solver_lhs4" localSheetId="7" hidden="1">'Mixing Waters'!$H$32</definedName>
    <definedName name="solver_lhs5" localSheetId="7" hidden="1">'Mixing Waters'!$H$32</definedName>
    <definedName name="solver_lhs6" localSheetId="7" hidden="1">'Mixing Waters'!$H$32</definedName>
    <definedName name="solver_lhs7" localSheetId="7" hidden="1">'Mixing Waters'!$H$33</definedName>
    <definedName name="solver_lhs8" localSheetId="7" hidden="1">'Mixing Waters'!$H$33</definedName>
    <definedName name="solver_lhs9" localSheetId="7" hidden="1">'Mixing Waters'!$H$33</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19</definedName>
    <definedName name="solver_nwt" localSheetId="7" hidden="1">1</definedName>
    <definedName name="solver_opt" localSheetId="7" hidden="1">'Mixing Waters'!$F$42</definedName>
    <definedName name="solver_pre" localSheetId="7" hidden="1">0.0001</definedName>
    <definedName name="solver_rbv" localSheetId="7" hidden="1">2</definedName>
    <definedName name="solver_rel1" localSheetId="7" hidden="1">3</definedName>
    <definedName name="solver_rel10" localSheetId="7" hidden="1">3</definedName>
    <definedName name="solver_rel11" localSheetId="7" hidden="1">1</definedName>
    <definedName name="solver_rel12" localSheetId="7" hidden="1">1</definedName>
    <definedName name="solver_rel13" localSheetId="7" hidden="1">3</definedName>
    <definedName name="solver_rel14" localSheetId="7" hidden="1">3</definedName>
    <definedName name="solver_rel15" localSheetId="7" hidden="1">1</definedName>
    <definedName name="solver_rel16" localSheetId="7" hidden="1">1</definedName>
    <definedName name="solver_rel17" localSheetId="7" hidden="1">3</definedName>
    <definedName name="solver_rel18" localSheetId="7" hidden="1">3</definedName>
    <definedName name="solver_rel19" localSheetId="7" hidden="1">2</definedName>
    <definedName name="solver_rel2" localSheetId="7" hidden="1">1</definedName>
    <definedName name="solver_rel3" localSheetId="7" hidden="1">1</definedName>
    <definedName name="solver_rel4" localSheetId="7" hidden="1">1</definedName>
    <definedName name="solver_rel5" localSheetId="7" hidden="1">3</definedName>
    <definedName name="solver_rel6" localSheetId="7" hidden="1">3</definedName>
    <definedName name="solver_rel7" localSheetId="7" hidden="1">1</definedName>
    <definedName name="solver_rel8" localSheetId="7" hidden="1">1</definedName>
    <definedName name="solver_rel9" localSheetId="7" hidden="1">3</definedName>
    <definedName name="solver_rhs1" localSheetId="7" hidden="1">('Mixing Waters'!$H$32*'Mixing Waters'!$AI$38+'Mixing Waters'!$H$33*'Mixing Waters'!$AI$39+'Mixing Waters'!$H$34*'Mixing Waters'!$AI$40+'Mixing Waters'!$H$35*'Mixing Waters'!$AI$45)/('Mixing Waters'!$H$32+'Mixing Waters'!$H$33+'Mixing Waters'!$H$34+'Mixing Waters'!$H$35)</definedName>
    <definedName name="solver_rhs10" localSheetId="7" hidden="1">0</definedName>
    <definedName name="solver_rhs11" localSheetId="7" hidden="1">'Mixing Waters'!$I$34</definedName>
    <definedName name="solver_rhs12" localSheetId="7" hidden="1">3000</definedName>
    <definedName name="solver_rhs13" localSheetId="7" hidden="1">'Mixing Waters'!$J$34</definedName>
    <definedName name="solver_rhs14" localSheetId="7" hidden="1">0</definedName>
    <definedName name="solver_rhs15" localSheetId="7" hidden="1">'Mixing Waters'!$I$35</definedName>
    <definedName name="solver_rhs16" localSheetId="7" hidden="1">3000</definedName>
    <definedName name="solver_rhs17" localSheetId="7" hidden="1">'Mixing Waters'!$J$35</definedName>
    <definedName name="solver_rhs18" localSheetId="7" hidden="1">0</definedName>
    <definedName name="solver_rhs19" localSheetId="7" hidden="1">'Mixing Waters'!$F$32-'Mixing Waters'!$E$32+'Mixing Waters'!$E$35</definedName>
    <definedName name="solver_rhs2" localSheetId="7" hidden="1">'Mixing Waters'!$L$32</definedName>
    <definedName name="solver_rhs3" localSheetId="7" hidden="1">'Mixing Waters'!$I$32</definedName>
    <definedName name="solver_rhs4" localSheetId="7" hidden="1">3000</definedName>
    <definedName name="solver_rhs5" localSheetId="7" hidden="1">'Mixing Waters'!$J$32</definedName>
    <definedName name="solver_rhs6" localSheetId="7" hidden="1">0</definedName>
    <definedName name="solver_rhs7" localSheetId="7" hidden="1">'Mixing Waters'!$I$33</definedName>
    <definedName name="solver_rhs8" localSheetId="7" hidden="1">3000</definedName>
    <definedName name="solver_rhs9" localSheetId="7" hidden="1">'Mixing Waters'!$J$33</definedName>
    <definedName name="solver_rlx" localSheetId="7" hidden="1">2</definedName>
    <definedName name="solver_rsd" localSheetId="7" hidden="1">0</definedName>
    <definedName name="solver_scl" localSheetId="7" hidden="1">2</definedName>
    <definedName name="solver_sho" localSheetId="7" hidden="1">2</definedName>
    <definedName name="solver_ssz" localSheetId="7" hidden="1">0</definedName>
    <definedName name="solver_tim" localSheetId="7" hidden="1">2147483647</definedName>
    <definedName name="solver_tol" localSheetId="7" hidden="1">0.01</definedName>
    <definedName name="solver_typ" localSheetId="7" hidden="1">1</definedName>
    <definedName name="solver_val" localSheetId="7" hidden="1">0</definedName>
    <definedName name="solver_ver" localSheetId="7"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7" i="7" l="1"/>
  <c r="T18" i="7"/>
  <c r="T19" i="7"/>
  <c r="T20" i="7"/>
  <c r="T16" i="7"/>
  <c r="M2" i="1"/>
  <c r="J2" i="1"/>
  <c r="Y66" i="1"/>
  <c r="Y67" i="1"/>
  <c r="Y68" i="1"/>
  <c r="Y61" i="1"/>
  <c r="Y62" i="1"/>
  <c r="Y60" i="1"/>
  <c r="Y65" i="1"/>
  <c r="EI260" i="1"/>
  <c r="EI261" i="1" s="1"/>
  <c r="CB260" i="1"/>
  <c r="CB261" i="1" s="1"/>
  <c r="FI256" i="1"/>
  <c r="FH256" i="1"/>
  <c r="FG256" i="1"/>
  <c r="FF256" i="1"/>
  <c r="FE256" i="1"/>
  <c r="ED256" i="1"/>
  <c r="EC256" i="1"/>
  <c r="EB256" i="1"/>
  <c r="DB256" i="1"/>
  <c r="DA256" i="1"/>
  <c r="CZ256" i="1"/>
  <c r="CY256" i="1"/>
  <c r="CX256" i="1"/>
  <c r="BW256" i="1"/>
  <c r="BV256" i="1"/>
  <c r="BU256" i="1"/>
  <c r="BT256" i="1"/>
  <c r="BS256" i="1"/>
  <c r="BW252" i="1"/>
  <c r="BV252" i="1"/>
  <c r="BU252" i="1"/>
  <c r="BT252" i="1"/>
  <c r="BS252" i="1"/>
  <c r="BW251" i="1"/>
  <c r="BV251" i="1"/>
  <c r="BU251" i="1"/>
  <c r="BT251" i="1"/>
  <c r="BS251" i="1"/>
  <c r="BW250" i="1"/>
  <c r="BV250" i="1"/>
  <c r="BU250" i="1"/>
  <c r="BT250" i="1"/>
  <c r="BS250" i="1"/>
  <c r="BW249" i="1"/>
  <c r="BV249" i="1"/>
  <c r="BU249" i="1"/>
  <c r="BT249" i="1"/>
  <c r="BS249" i="1"/>
  <c r="BW248" i="1"/>
  <c r="BV248" i="1"/>
  <c r="BU248" i="1"/>
  <c r="BT248" i="1"/>
  <c r="BS248" i="1"/>
  <c r="BW247" i="1"/>
  <c r="BV247" i="1"/>
  <c r="BU247" i="1"/>
  <c r="BT247" i="1"/>
  <c r="BS247" i="1"/>
  <c r="BW246" i="1"/>
  <c r="BV246" i="1"/>
  <c r="BU246" i="1"/>
  <c r="BT246" i="1"/>
  <c r="BS246" i="1"/>
  <c r="EI140" i="1"/>
  <c r="EI141" i="1" s="1"/>
  <c r="CB140" i="1"/>
  <c r="CB141" i="1" s="1"/>
  <c r="CB142" i="1" s="1"/>
  <c r="FI136" i="1"/>
  <c r="FH136" i="1"/>
  <c r="FG136" i="1"/>
  <c r="FF136" i="1"/>
  <c r="FE136" i="1"/>
  <c r="ED136" i="1"/>
  <c r="EC136" i="1"/>
  <c r="EB136" i="1"/>
  <c r="DB136" i="1"/>
  <c r="DA136" i="1"/>
  <c r="CZ136" i="1"/>
  <c r="CY136" i="1"/>
  <c r="CX136" i="1"/>
  <c r="BW136" i="1"/>
  <c r="BV136" i="1"/>
  <c r="BU136" i="1"/>
  <c r="BT136" i="1"/>
  <c r="BS136" i="1"/>
  <c r="BW132" i="1"/>
  <c r="BV132" i="1"/>
  <c r="BU132" i="1"/>
  <c r="BT132" i="1"/>
  <c r="BS132" i="1"/>
  <c r="BW131" i="1"/>
  <c r="BV131" i="1"/>
  <c r="BU131" i="1"/>
  <c r="BT131" i="1"/>
  <c r="BS131" i="1"/>
  <c r="BW130" i="1"/>
  <c r="BV130" i="1"/>
  <c r="BU130" i="1"/>
  <c r="BT130" i="1"/>
  <c r="BS130" i="1"/>
  <c r="BW129" i="1"/>
  <c r="BV129" i="1"/>
  <c r="BU129" i="1"/>
  <c r="BT129" i="1"/>
  <c r="BS129" i="1"/>
  <c r="BW128" i="1"/>
  <c r="BV128" i="1"/>
  <c r="BU128" i="1"/>
  <c r="BT128" i="1"/>
  <c r="BS128" i="1"/>
  <c r="BW127" i="1"/>
  <c r="BV127" i="1"/>
  <c r="BU127" i="1"/>
  <c r="BT127" i="1"/>
  <c r="BS127" i="1"/>
  <c r="BW126" i="1"/>
  <c r="BV126" i="1"/>
  <c r="BU126" i="1"/>
  <c r="BT126" i="1"/>
  <c r="BS126" i="1"/>
  <c r="EI262" i="1" l="1"/>
  <c r="CB262" i="1"/>
  <c r="CB143" i="1"/>
  <c r="BU142" i="1"/>
  <c r="EI142" i="1"/>
  <c r="EB17" i="1"/>
  <c r="EC17" i="1"/>
  <c r="ED17" i="1"/>
  <c r="FI17" i="1"/>
  <c r="FH17" i="1"/>
  <c r="FG17" i="1"/>
  <c r="FF17" i="1"/>
  <c r="FE17" i="1"/>
  <c r="DB17" i="1"/>
  <c r="DA17" i="1"/>
  <c r="CZ17" i="1"/>
  <c r="CY17" i="1"/>
  <c r="CX17" i="1"/>
  <c r="Q2" i="20"/>
  <c r="AJ5" i="7"/>
  <c r="AN5" i="7" s="1"/>
  <c r="AI5" i="7"/>
  <c r="AM5" i="7" s="1"/>
  <c r="AH5" i="7"/>
  <c r="AL5" i="7" s="1"/>
  <c r="AW21" i="1"/>
  <c r="BD12" i="20" s="1"/>
  <c r="AX42" i="1"/>
  <c r="AY42" i="1" s="1"/>
  <c r="AX43" i="1"/>
  <c r="AY43" i="1" s="1"/>
  <c r="AX44" i="1"/>
  <c r="AY44" i="1" s="1"/>
  <c r="AX45" i="1"/>
  <c r="AY45" i="1" s="1"/>
  <c r="AX46" i="1"/>
  <c r="AY46" i="1" s="1"/>
  <c r="AX47" i="1"/>
  <c r="AY47" i="1" s="1"/>
  <c r="AX48" i="1"/>
  <c r="AX49" i="1"/>
  <c r="AY49" i="1" s="1"/>
  <c r="AX50" i="1"/>
  <c r="AX51" i="1"/>
  <c r="AX52" i="1"/>
  <c r="AX53" i="1"/>
  <c r="AX41" i="1"/>
  <c r="AY41" i="1" s="1"/>
  <c r="AX62" i="1"/>
  <c r="AY62" i="1" s="1"/>
  <c r="AX63" i="1"/>
  <c r="AY63" i="1" s="1"/>
  <c r="AX64" i="1"/>
  <c r="AY64" i="1" s="1"/>
  <c r="AX65" i="1"/>
  <c r="AY65" i="1" s="1"/>
  <c r="AX66" i="1"/>
  <c r="AY66" i="1"/>
  <c r="AX67" i="1"/>
  <c r="AX68" i="1"/>
  <c r="AX69" i="1"/>
  <c r="AY69" i="1" s="1"/>
  <c r="AX70" i="1"/>
  <c r="AX71" i="1"/>
  <c r="AX72" i="1"/>
  <c r="AX73" i="1"/>
  <c r="AX61" i="1"/>
  <c r="AY61" i="1" s="1"/>
  <c r="AY73" i="1"/>
  <c r="AY72" i="1"/>
  <c r="AY71" i="1"/>
  <c r="AY70" i="1"/>
  <c r="AY68" i="1"/>
  <c r="AY67" i="1"/>
  <c r="AY52" i="1"/>
  <c r="AY51" i="1"/>
  <c r="AY50" i="1"/>
  <c r="AY48" i="1"/>
  <c r="AY53" i="1"/>
  <c r="AY32" i="1"/>
  <c r="AX22" i="1"/>
  <c r="AY22" i="1" s="1"/>
  <c r="AX23" i="1"/>
  <c r="AY23" i="1" s="1"/>
  <c r="AX24" i="1"/>
  <c r="AY24" i="1" s="1"/>
  <c r="AX25" i="1"/>
  <c r="AY25" i="1" s="1"/>
  <c r="AX26" i="1"/>
  <c r="AY26" i="1" s="1"/>
  <c r="AX27" i="1"/>
  <c r="AY27" i="1"/>
  <c r="AX28" i="1"/>
  <c r="AY28" i="1"/>
  <c r="AX29" i="1"/>
  <c r="AY29" i="1"/>
  <c r="AX30" i="1"/>
  <c r="AY30" i="1"/>
  <c r="AX31" i="1"/>
  <c r="AY31" i="1"/>
  <c r="AX32" i="1"/>
  <c r="AX21" i="1"/>
  <c r="AY21" i="1" s="1"/>
  <c r="AU21" i="1"/>
  <c r="AV21" i="1" s="1"/>
  <c r="BA12" i="20" s="1"/>
  <c r="AQ21" i="1"/>
  <c r="AW62" i="1"/>
  <c r="AW63" i="1"/>
  <c r="AW64" i="1"/>
  <c r="BF15" i="20" s="1"/>
  <c r="AW65" i="1"/>
  <c r="AW66" i="1"/>
  <c r="AW67" i="1"/>
  <c r="AW68" i="1"/>
  <c r="AW69" i="1"/>
  <c r="AW70" i="1"/>
  <c r="AW71" i="1"/>
  <c r="L71" i="1" s="1"/>
  <c r="M71" i="1" s="1"/>
  <c r="N71" i="1" s="1"/>
  <c r="AW72" i="1"/>
  <c r="L72" i="1" s="1"/>
  <c r="M72" i="1" s="1"/>
  <c r="N72" i="1" s="1"/>
  <c r="AW61" i="1"/>
  <c r="BF12" i="20" s="1"/>
  <c r="AW42" i="1"/>
  <c r="BE13" i="20" s="1"/>
  <c r="AW43" i="1"/>
  <c r="BE14" i="20" s="1"/>
  <c r="AW44" i="1"/>
  <c r="BE15" i="20" s="1"/>
  <c r="AW45" i="1"/>
  <c r="AW46" i="1"/>
  <c r="AW47" i="1"/>
  <c r="AW48" i="1"/>
  <c r="AW49" i="1"/>
  <c r="L49" i="1" s="1"/>
  <c r="M49" i="1" s="1"/>
  <c r="N49" i="1" s="1"/>
  <c r="AW50" i="1"/>
  <c r="BE21" i="20" s="1"/>
  <c r="AW51" i="1"/>
  <c r="AW52" i="1"/>
  <c r="L52" i="1" s="1"/>
  <c r="M52" i="1" s="1"/>
  <c r="N52" i="1" s="1"/>
  <c r="AW41" i="1"/>
  <c r="BE12" i="20" s="1"/>
  <c r="AW22" i="1"/>
  <c r="AW23" i="1"/>
  <c r="BD14" i="20" s="1"/>
  <c r="AW24" i="1"/>
  <c r="BD15" i="20" s="1"/>
  <c r="AW25" i="1"/>
  <c r="BD16" i="20" s="1"/>
  <c r="AW26" i="1"/>
  <c r="BD17" i="20" s="1"/>
  <c r="AW27" i="1"/>
  <c r="BD18" i="20" s="1"/>
  <c r="AW28" i="1"/>
  <c r="AW29" i="1"/>
  <c r="AW30" i="1"/>
  <c r="BD21" i="20" s="1"/>
  <c r="AW31" i="1"/>
  <c r="L31" i="1" s="1"/>
  <c r="M31" i="1" s="1"/>
  <c r="N31" i="1" s="1"/>
  <c r="AW32" i="1"/>
  <c r="L32" i="1" s="1"/>
  <c r="M32" i="1" s="1"/>
  <c r="N32" i="1" s="1"/>
  <c r="H189" i="3"/>
  <c r="I189" i="3"/>
  <c r="J189" i="3"/>
  <c r="H190" i="3"/>
  <c r="AO95" i="1"/>
  <c r="I190" i="3"/>
  <c r="J190" i="3"/>
  <c r="H191" i="3"/>
  <c r="I191" i="3"/>
  <c r="J191" i="3"/>
  <c r="H192" i="3"/>
  <c r="I192" i="3"/>
  <c r="J192" i="3"/>
  <c r="J188" i="3"/>
  <c r="I188" i="3"/>
  <c r="H188" i="3"/>
  <c r="AP95" i="1"/>
  <c r="AS95" i="1" s="1"/>
  <c r="J16" i="17"/>
  <c r="I16" i="17"/>
  <c r="H16" i="17"/>
  <c r="G16" i="17"/>
  <c r="F16" i="17"/>
  <c r="E16" i="17"/>
  <c r="D16" i="17"/>
  <c r="N73" i="1"/>
  <c r="AI25" i="7"/>
  <c r="AF25" i="7"/>
  <c r="AG25" i="7" s="1"/>
  <c r="BF16" i="1"/>
  <c r="BG16" i="1" s="1"/>
  <c r="BE16" i="1"/>
  <c r="AN66" i="1"/>
  <c r="AN67" i="1"/>
  <c r="AN68" i="1"/>
  <c r="AN69" i="1"/>
  <c r="AN61" i="1"/>
  <c r="AN62" i="1"/>
  <c r="AN63" i="1"/>
  <c r="AN64" i="1"/>
  <c r="AN65" i="1"/>
  <c r="AN70" i="1"/>
  <c r="AN71" i="1"/>
  <c r="AN72" i="1"/>
  <c r="AQ64" i="1"/>
  <c r="AR64" i="1"/>
  <c r="AT64" i="1"/>
  <c r="AP4" i="1"/>
  <c r="AP5" i="1"/>
  <c r="AP6" i="1"/>
  <c r="BC5" i="1"/>
  <c r="BD5" i="1"/>
  <c r="AI18" i="7"/>
  <c r="AJ18" i="7" s="1"/>
  <c r="AL18" i="7" s="1"/>
  <c r="AM18" i="7" s="1"/>
  <c r="AK18" i="7"/>
  <c r="D26" i="7"/>
  <c r="I26" i="7"/>
  <c r="O23" i="18" s="1"/>
  <c r="AJ33" i="18" s="1"/>
  <c r="AJ47" i="18" s="1"/>
  <c r="AJ38" i="18" s="1"/>
  <c r="BE5" i="1"/>
  <c r="J26" i="7"/>
  <c r="P23" i="18" s="1"/>
  <c r="AK33" i="18" s="1"/>
  <c r="AK47" i="18" s="1"/>
  <c r="AK38" i="18" s="1"/>
  <c r="K26" i="7"/>
  <c r="O26" i="7"/>
  <c r="U23" i="18" s="1"/>
  <c r="AM33" i="18" s="1"/>
  <c r="AM47" i="18" s="1"/>
  <c r="AM38" i="18" s="1"/>
  <c r="AN46" i="1"/>
  <c r="AN43" i="1"/>
  <c r="AN53" i="1" s="1"/>
  <c r="AN44" i="1"/>
  <c r="AN45" i="1"/>
  <c r="AQ45" i="1"/>
  <c r="AR45" i="1"/>
  <c r="AT45" i="1"/>
  <c r="AO4" i="1"/>
  <c r="AO5" i="1"/>
  <c r="BC4" i="1"/>
  <c r="BD4" i="1"/>
  <c r="AI17" i="7"/>
  <c r="AJ17" i="7" s="1"/>
  <c r="AK17" i="7"/>
  <c r="AL17" i="7" s="1"/>
  <c r="AM17" i="7" s="1"/>
  <c r="D25" i="7"/>
  <c r="AF27" i="7" s="1"/>
  <c r="AN26" i="1"/>
  <c r="AN29" i="1"/>
  <c r="AN27" i="1"/>
  <c r="AN28" i="1"/>
  <c r="AQ27" i="1"/>
  <c r="AR27" i="1"/>
  <c r="AT27" i="1"/>
  <c r="AN4" i="1"/>
  <c r="BC3" i="1"/>
  <c r="BD3" i="1"/>
  <c r="D24" i="7"/>
  <c r="AI16" i="7"/>
  <c r="AJ16" i="7" s="1"/>
  <c r="AK16" i="7"/>
  <c r="AP26" i="1"/>
  <c r="AP23" i="1"/>
  <c r="AP33" i="1" s="1"/>
  <c r="AP21" i="1"/>
  <c r="AP22" i="1"/>
  <c r="AR21" i="1"/>
  <c r="I24" i="7"/>
  <c r="BE3" i="1"/>
  <c r="J24" i="7"/>
  <c r="P21" i="18" s="1"/>
  <c r="AK31" i="18" s="1"/>
  <c r="AK49" i="18" s="1"/>
  <c r="AK40" i="18" s="1"/>
  <c r="K24" i="7"/>
  <c r="Q21" i="18" s="1"/>
  <c r="AL31" i="18" s="1"/>
  <c r="AL49" i="18" s="1"/>
  <c r="AL40" i="18" s="1"/>
  <c r="O24" i="7"/>
  <c r="U21" i="18" s="1"/>
  <c r="AM31" i="18" s="1"/>
  <c r="AM49" i="18" s="1"/>
  <c r="AM40" i="18" s="1"/>
  <c r="C12" i="20"/>
  <c r="C33" i="20" s="1"/>
  <c r="D12" i="20"/>
  <c r="Y33" i="20" s="1"/>
  <c r="J12" i="20"/>
  <c r="E33" i="20" s="1"/>
  <c r="E12" i="20"/>
  <c r="Q33" i="20" s="1"/>
  <c r="K12" i="20"/>
  <c r="W33" i="20" s="1"/>
  <c r="AP66" i="1"/>
  <c r="AP67" i="1"/>
  <c r="AP68" i="1"/>
  <c r="AP69" i="1"/>
  <c r="AP61" i="1"/>
  <c r="AP62" i="1"/>
  <c r="AP63" i="1"/>
  <c r="AP64" i="1"/>
  <c r="AP65" i="1"/>
  <c r="AP70" i="1"/>
  <c r="AP71" i="1"/>
  <c r="AP72" i="1"/>
  <c r="AR61" i="1"/>
  <c r="AE12" i="20"/>
  <c r="C69" i="20" s="1"/>
  <c r="CD69" i="20" s="1"/>
  <c r="AF12" i="20"/>
  <c r="CL69" i="20" s="1"/>
  <c r="K69" i="20" s="1"/>
  <c r="AL12" i="20"/>
  <c r="E69" i="20" s="1"/>
  <c r="AG12" i="20"/>
  <c r="U69" i="20" s="1"/>
  <c r="AM12" i="20"/>
  <c r="W69" i="20" s="1"/>
  <c r="AP46" i="1"/>
  <c r="AP53" i="1" s="1"/>
  <c r="AP43" i="1"/>
  <c r="AP41" i="1"/>
  <c r="AP42" i="1"/>
  <c r="AR41" i="1"/>
  <c r="I25" i="7"/>
  <c r="O22" i="18"/>
  <c r="AJ32" i="18" s="1"/>
  <c r="AJ48" i="18" s="1"/>
  <c r="AJ39" i="18" s="1"/>
  <c r="J25" i="7"/>
  <c r="K25" i="7"/>
  <c r="Q22" i="18" s="1"/>
  <c r="AL32" i="18" s="1"/>
  <c r="AL48" i="18" s="1"/>
  <c r="AL39" i="18" s="1"/>
  <c r="O25" i="7"/>
  <c r="BJ4" i="1" s="1"/>
  <c r="Q12" i="20"/>
  <c r="C51" i="20" s="1"/>
  <c r="BA51" i="20" s="1"/>
  <c r="R12" i="20"/>
  <c r="Y51" i="20" s="1"/>
  <c r="X12" i="20"/>
  <c r="E51" i="20" s="1"/>
  <c r="S12" i="20"/>
  <c r="Y12" i="20"/>
  <c r="W51" i="20" s="1"/>
  <c r="M42" i="18"/>
  <c r="L42" i="18"/>
  <c r="K42" i="18"/>
  <c r="AU62" i="1"/>
  <c r="AV62" i="1" s="1"/>
  <c r="BC13" i="20" s="1"/>
  <c r="AU63" i="1"/>
  <c r="AV63" i="1" s="1"/>
  <c r="BC14" i="20" s="1"/>
  <c r="AU64" i="1"/>
  <c r="AV64" i="1" s="1"/>
  <c r="AU65" i="1"/>
  <c r="AV65" i="1" s="1"/>
  <c r="BC16" i="20" s="1"/>
  <c r="AU61" i="1"/>
  <c r="AV61" i="1"/>
  <c r="AU42" i="1"/>
  <c r="AV42" i="1" s="1"/>
  <c r="BB13" i="20" s="1"/>
  <c r="AU43" i="1"/>
  <c r="AV43" i="1" s="1"/>
  <c r="BB14" i="20" s="1"/>
  <c r="AU44" i="1"/>
  <c r="AV44" i="1" s="1"/>
  <c r="BB15" i="20" s="1"/>
  <c r="BE16" i="20"/>
  <c r="AU45" i="1"/>
  <c r="AV45" i="1" s="1"/>
  <c r="BB16" i="20" s="1"/>
  <c r="AU46" i="1"/>
  <c r="AY17" i="20" s="1"/>
  <c r="BE18" i="20"/>
  <c r="AU47" i="1"/>
  <c r="AU41" i="1"/>
  <c r="AV41" i="1" s="1"/>
  <c r="BB12" i="20" s="1"/>
  <c r="AU31" i="1"/>
  <c r="BD13" i="20"/>
  <c r="AU22" i="1"/>
  <c r="AX13" i="20" s="1"/>
  <c r="AU23" i="1"/>
  <c r="AX14" i="20" s="1"/>
  <c r="AU24" i="1"/>
  <c r="AV24" i="1" s="1"/>
  <c r="BA15" i="20" s="1"/>
  <c r="AU25" i="1"/>
  <c r="AV25" i="1" s="1"/>
  <c r="BA16" i="20" s="1"/>
  <c r="AU26" i="1"/>
  <c r="AV26" i="1" s="1"/>
  <c r="AU27" i="1"/>
  <c r="AV27" i="1"/>
  <c r="BD19" i="20"/>
  <c r="AU28" i="1"/>
  <c r="AX19" i="20" s="1"/>
  <c r="AV28" i="1"/>
  <c r="BD20" i="20"/>
  <c r="AU29" i="1"/>
  <c r="AX20" i="20" s="1"/>
  <c r="AV29" i="1"/>
  <c r="L29" i="1"/>
  <c r="AU30" i="1"/>
  <c r="AV30" i="1"/>
  <c r="BA21" i="20" s="1"/>
  <c r="L30" i="1"/>
  <c r="M30" i="1" s="1"/>
  <c r="N30" i="1" s="1"/>
  <c r="AE13" i="20"/>
  <c r="C70" i="20" s="1"/>
  <c r="AX70" i="20" s="1"/>
  <c r="AE14" i="20"/>
  <c r="C71" i="20" s="1"/>
  <c r="AE15" i="20"/>
  <c r="C72" i="20" s="1"/>
  <c r="CD72" i="20" s="1"/>
  <c r="AE16" i="20"/>
  <c r="C73" i="20" s="1"/>
  <c r="AE17" i="20"/>
  <c r="C74" i="20" s="1"/>
  <c r="AG74" i="20" s="1"/>
  <c r="AE18" i="20"/>
  <c r="C75" i="20" s="1"/>
  <c r="AE19" i="20"/>
  <c r="C76" i="20" s="1"/>
  <c r="AE20" i="20"/>
  <c r="C77" i="20" s="1"/>
  <c r="AN77" i="20" s="1"/>
  <c r="AM13" i="20"/>
  <c r="W70" i="20" s="1"/>
  <c r="AL13" i="20"/>
  <c r="S70" i="20" s="1"/>
  <c r="AG13" i="20"/>
  <c r="CH70" i="20" s="1"/>
  <c r="G70" i="20" s="1"/>
  <c r="AF13" i="20"/>
  <c r="Y70" i="20" s="1"/>
  <c r="AM14" i="20"/>
  <c r="M71" i="20" s="1"/>
  <c r="AL14" i="20"/>
  <c r="E71" i="20" s="1"/>
  <c r="AG14" i="20"/>
  <c r="Q71" i="20" s="1"/>
  <c r="AF14" i="20"/>
  <c r="CL71" i="20" s="1"/>
  <c r="K71" i="20" s="1"/>
  <c r="AM15" i="20"/>
  <c r="M72" i="20" s="1"/>
  <c r="AL15" i="20"/>
  <c r="S72" i="20" s="1"/>
  <c r="AG15" i="20"/>
  <c r="U72" i="20" s="1"/>
  <c r="AF15" i="20"/>
  <c r="Y72" i="20" s="1"/>
  <c r="AM16" i="20"/>
  <c r="M73" i="20" s="1"/>
  <c r="AC73" i="20" s="1"/>
  <c r="AL16" i="20"/>
  <c r="E73" i="20" s="1"/>
  <c r="AG16" i="20"/>
  <c r="Q73" i="20" s="1"/>
  <c r="AF16" i="20"/>
  <c r="Y73" i="20" s="1"/>
  <c r="AM17" i="20"/>
  <c r="CJ74" i="20" s="1"/>
  <c r="I74" i="20" s="1"/>
  <c r="AM18" i="20"/>
  <c r="M75" i="20" s="1"/>
  <c r="AC75" i="20" s="1"/>
  <c r="AM19" i="20"/>
  <c r="M76" i="20" s="1"/>
  <c r="AM20" i="20"/>
  <c r="W77" i="20" s="1"/>
  <c r="AE21" i="20"/>
  <c r="C78" i="20" s="1"/>
  <c r="AG78" i="20" s="1"/>
  <c r="AM21" i="20"/>
  <c r="W78" i="20" s="1"/>
  <c r="AE22" i="20"/>
  <c r="C79" i="20" s="1"/>
  <c r="AM22" i="20"/>
  <c r="CJ79" i="20" s="1"/>
  <c r="I79" i="20" s="1"/>
  <c r="AE23" i="20"/>
  <c r="C80" i="20" s="1"/>
  <c r="AO80" i="20" s="1"/>
  <c r="AM23" i="20"/>
  <c r="M80" i="20" s="1"/>
  <c r="AC80" i="20" s="1"/>
  <c r="BG12" i="20"/>
  <c r="C13" i="20"/>
  <c r="C34" i="20" s="1"/>
  <c r="CE34" i="20" s="1"/>
  <c r="C14" i="20"/>
  <c r="C35" i="20" s="1"/>
  <c r="C15" i="20"/>
  <c r="C36" i="20" s="1"/>
  <c r="C16" i="20"/>
  <c r="C37" i="20" s="1"/>
  <c r="AX37" i="20" s="1"/>
  <c r="C17" i="20"/>
  <c r="C38" i="20" s="1"/>
  <c r="C18" i="20"/>
  <c r="C39" i="20" s="1"/>
  <c r="AN39" i="20" s="1"/>
  <c r="C19" i="20"/>
  <c r="C40" i="20" s="1"/>
  <c r="AI40" i="20" s="1"/>
  <c r="C20" i="20"/>
  <c r="C41" i="20" s="1"/>
  <c r="AX41" i="20" s="1"/>
  <c r="K13" i="20"/>
  <c r="W34" i="20" s="1"/>
  <c r="J13" i="20"/>
  <c r="O34" i="20" s="1"/>
  <c r="E13" i="20"/>
  <c r="Q34" i="20" s="1"/>
  <c r="D13" i="20"/>
  <c r="Y34" i="20" s="1"/>
  <c r="K14" i="20"/>
  <c r="J14" i="20"/>
  <c r="E35" i="20" s="1"/>
  <c r="E14" i="20"/>
  <c r="Q35" i="20" s="1"/>
  <c r="D14" i="20"/>
  <c r="CI35" i="20" s="1"/>
  <c r="K35" i="20" s="1"/>
  <c r="K15" i="20"/>
  <c r="M36" i="20" s="1"/>
  <c r="AC36" i="20" s="1"/>
  <c r="J15" i="20"/>
  <c r="E36" i="20" s="1"/>
  <c r="E15" i="20"/>
  <c r="Q36" i="20" s="1"/>
  <c r="D15" i="20"/>
  <c r="Y36" i="20" s="1"/>
  <c r="K16" i="20"/>
  <c r="W37" i="20" s="1"/>
  <c r="J16" i="20"/>
  <c r="S37" i="20" s="1"/>
  <c r="E16" i="20"/>
  <c r="U37" i="20" s="1"/>
  <c r="D16" i="20"/>
  <c r="Y37" i="20" s="1"/>
  <c r="K17" i="20"/>
  <c r="M38" i="20" s="1"/>
  <c r="J17" i="20"/>
  <c r="E38" i="20" s="1"/>
  <c r="E17" i="20"/>
  <c r="U38" i="20" s="1"/>
  <c r="D17" i="20"/>
  <c r="CI38" i="20" s="1"/>
  <c r="K38" i="20" s="1"/>
  <c r="K18" i="20"/>
  <c r="CH39" i="20" s="1"/>
  <c r="I39" i="20" s="1"/>
  <c r="J18" i="20"/>
  <c r="E39" i="20" s="1"/>
  <c r="E18" i="20"/>
  <c r="CG39" i="20" s="1"/>
  <c r="G39" i="20" s="1"/>
  <c r="D18" i="20"/>
  <c r="CI39" i="20" s="1"/>
  <c r="K39" i="20" s="1"/>
  <c r="K19" i="20"/>
  <c r="M40" i="20" s="1"/>
  <c r="J19" i="20"/>
  <c r="O40" i="20" s="1"/>
  <c r="E19" i="20"/>
  <c r="CG40" i="20" s="1"/>
  <c r="G40" i="20" s="1"/>
  <c r="D19" i="20"/>
  <c r="Y40" i="20" s="1"/>
  <c r="K20" i="20"/>
  <c r="W41" i="20" s="1"/>
  <c r="J20" i="20"/>
  <c r="O41" i="20" s="1"/>
  <c r="E20" i="20"/>
  <c r="U41" i="20" s="1"/>
  <c r="D20" i="20"/>
  <c r="CI41" i="20" s="1"/>
  <c r="K41" i="20" s="1"/>
  <c r="C21" i="20"/>
  <c r="C42" i="20" s="1"/>
  <c r="AL42" i="20" s="1"/>
  <c r="K21" i="20"/>
  <c r="CH42" i="20" s="1"/>
  <c r="I42" i="20" s="1"/>
  <c r="J21" i="20"/>
  <c r="E42" i="20" s="1"/>
  <c r="E21" i="20"/>
  <c r="U42" i="20" s="1"/>
  <c r="D21" i="20"/>
  <c r="Y42" i="20" s="1"/>
  <c r="C22" i="20"/>
  <c r="C43" i="20" s="1"/>
  <c r="K22" i="20"/>
  <c r="M43" i="20" s="1"/>
  <c r="AC43" i="20" s="1"/>
  <c r="J22" i="20"/>
  <c r="E43" i="20" s="1"/>
  <c r="E22" i="20"/>
  <c r="Q43" i="20" s="1"/>
  <c r="D22" i="20"/>
  <c r="C23" i="20"/>
  <c r="C44" i="20" s="1"/>
  <c r="K23" i="20"/>
  <c r="CH44" i="20" s="1"/>
  <c r="I44" i="20" s="1"/>
  <c r="BG13" i="20"/>
  <c r="BG14" i="20"/>
  <c r="BG15" i="20"/>
  <c r="BG16" i="20"/>
  <c r="BG17" i="20"/>
  <c r="BG18" i="20"/>
  <c r="BG19" i="20"/>
  <c r="BG20" i="20"/>
  <c r="BK47" i="20"/>
  <c r="BH12" i="20"/>
  <c r="Q13" i="20"/>
  <c r="C52" i="20" s="1"/>
  <c r="Y13" i="20"/>
  <c r="W52" i="20" s="1"/>
  <c r="BH13" i="20"/>
  <c r="R13" i="20"/>
  <c r="CL52" i="20" s="1"/>
  <c r="K52" i="20" s="1"/>
  <c r="Q14" i="20"/>
  <c r="C53" i="20" s="1"/>
  <c r="AX53" i="20" s="1"/>
  <c r="Q15" i="20"/>
  <c r="C54" i="20" s="1"/>
  <c r="Q16" i="20"/>
  <c r="C55" i="20" s="1"/>
  <c r="Q17" i="20"/>
  <c r="C56" i="20" s="1"/>
  <c r="CD56" i="20" s="1"/>
  <c r="X13" i="20"/>
  <c r="O52" i="20" s="1"/>
  <c r="S13" i="20"/>
  <c r="CH52" i="20" s="1"/>
  <c r="G52" i="20" s="1"/>
  <c r="Q18" i="20"/>
  <c r="C57" i="20" s="1"/>
  <c r="Q19" i="20"/>
  <c r="C58" i="20" s="1"/>
  <c r="Q20" i="20"/>
  <c r="C59" i="20" s="1"/>
  <c r="CD59" i="20" s="1"/>
  <c r="Q21" i="20"/>
  <c r="C60" i="20" s="1"/>
  <c r="Y14" i="20"/>
  <c r="CJ53" i="20" s="1"/>
  <c r="I53" i="20" s="1"/>
  <c r="X14" i="20"/>
  <c r="O53" i="20" s="1"/>
  <c r="S14" i="20"/>
  <c r="Q53" i="20" s="1"/>
  <c r="R14" i="20"/>
  <c r="Y53" i="20" s="1"/>
  <c r="Y15" i="20"/>
  <c r="M54" i="20" s="1"/>
  <c r="AC54" i="20" s="1"/>
  <c r="X15" i="20"/>
  <c r="S54" i="20" s="1"/>
  <c r="S15" i="20"/>
  <c r="U54" i="20" s="1"/>
  <c r="R15" i="20"/>
  <c r="Y54" i="20" s="1"/>
  <c r="Y16" i="20"/>
  <c r="M55" i="20" s="1"/>
  <c r="AC55" i="20" s="1"/>
  <c r="X16" i="20"/>
  <c r="S55" i="20" s="1"/>
  <c r="S16" i="20"/>
  <c r="CH55" i="20" s="1"/>
  <c r="G55" i="20" s="1"/>
  <c r="R16" i="20"/>
  <c r="CL55" i="20" s="1"/>
  <c r="K55" i="20" s="1"/>
  <c r="Y17" i="20"/>
  <c r="W56" i="20" s="1"/>
  <c r="X17" i="20"/>
  <c r="E56" i="20" s="1"/>
  <c r="S17" i="20"/>
  <c r="CH56" i="20" s="1"/>
  <c r="G56" i="20" s="1"/>
  <c r="R17" i="20"/>
  <c r="CL56" i="20" s="1"/>
  <c r="K56" i="20" s="1"/>
  <c r="Y18" i="20"/>
  <c r="X18" i="20"/>
  <c r="O57" i="20" s="1"/>
  <c r="S18" i="20"/>
  <c r="U57" i="20" s="1"/>
  <c r="R18" i="20"/>
  <c r="CL57" i="20" s="1"/>
  <c r="K57" i="20" s="1"/>
  <c r="Y19" i="20"/>
  <c r="Y20" i="20"/>
  <c r="M59" i="20" s="1"/>
  <c r="Y21" i="20"/>
  <c r="M60" i="20" s="1"/>
  <c r="Q22" i="20"/>
  <c r="C61" i="20" s="1"/>
  <c r="AL61" i="20" s="1"/>
  <c r="Y22" i="20"/>
  <c r="CJ61" i="20" s="1"/>
  <c r="I61" i="20" s="1"/>
  <c r="Q23" i="20"/>
  <c r="C62" i="20" s="1"/>
  <c r="AI62" i="20" s="1"/>
  <c r="Y23" i="20"/>
  <c r="M62" i="20" s="1"/>
  <c r="AC62" i="20" s="1"/>
  <c r="BH14" i="20"/>
  <c r="BH15" i="20"/>
  <c r="BA63" i="20"/>
  <c r="BA64" i="20"/>
  <c r="BA65" i="20"/>
  <c r="BH16" i="20"/>
  <c r="BH17" i="20"/>
  <c r="BH18" i="20"/>
  <c r="BC66" i="20"/>
  <c r="BC67" i="20"/>
  <c r="BB63" i="20"/>
  <c r="BB64" i="20"/>
  <c r="BB65" i="20"/>
  <c r="BB66" i="20"/>
  <c r="BB67" i="20"/>
  <c r="AP7" i="1"/>
  <c r="BI12" i="20"/>
  <c r="BI13" i="20"/>
  <c r="BI14" i="20"/>
  <c r="BA81" i="20"/>
  <c r="BA82" i="20"/>
  <c r="BA83" i="20"/>
  <c r="BI15" i="20"/>
  <c r="BI16" i="20"/>
  <c r="L20" i="20"/>
  <c r="L21" i="20"/>
  <c r="L22" i="20"/>
  <c r="F21" i="20"/>
  <c r="G21" i="20"/>
  <c r="H21" i="20"/>
  <c r="I21" i="20"/>
  <c r="G4" i="1"/>
  <c r="H4" i="1"/>
  <c r="F4" i="1"/>
  <c r="I27" i="7"/>
  <c r="BE6" i="1" s="1"/>
  <c r="J27" i="7"/>
  <c r="BF6" i="1" s="1"/>
  <c r="P24" i="18"/>
  <c r="AK34" i="18" s="1"/>
  <c r="K27" i="7"/>
  <c r="E27" i="7" s="1"/>
  <c r="AF20" i="7" s="1"/>
  <c r="AE20" i="7" s="1"/>
  <c r="I28" i="7"/>
  <c r="E28" i="7" s="1"/>
  <c r="AF21" i="7" s="1"/>
  <c r="AE21" i="7" s="1"/>
  <c r="J28" i="7"/>
  <c r="K28" i="7"/>
  <c r="Q25" i="18" s="1"/>
  <c r="AL35" i="18" s="1"/>
  <c r="AH12" i="20"/>
  <c r="AI12" i="20"/>
  <c r="AJ12" i="20"/>
  <c r="AK12" i="20"/>
  <c r="Z12" i="20"/>
  <c r="T12" i="20"/>
  <c r="U12" i="20"/>
  <c r="V12" i="20"/>
  <c r="W12" i="20"/>
  <c r="L12" i="20"/>
  <c r="BA47" i="20"/>
  <c r="BA45" i="20"/>
  <c r="BA46" i="20"/>
  <c r="AR67" i="20"/>
  <c r="AP68" i="20"/>
  <c r="AL68" i="20"/>
  <c r="AG68" i="20"/>
  <c r="AR49" i="20"/>
  <c r="AP50" i="20"/>
  <c r="AG50" i="20"/>
  <c r="AL50" i="20"/>
  <c r="AR31" i="20"/>
  <c r="AP32" i="20"/>
  <c r="AL32" i="20"/>
  <c r="AG32" i="20"/>
  <c r="AT66" i="1"/>
  <c r="AT67" i="1"/>
  <c r="AT68" i="1"/>
  <c r="AT69" i="1"/>
  <c r="AT70" i="1"/>
  <c r="AT71" i="1"/>
  <c r="AT72" i="1"/>
  <c r="AT50" i="1"/>
  <c r="AT51" i="1"/>
  <c r="AT52" i="1"/>
  <c r="AT30" i="1"/>
  <c r="AT31" i="1"/>
  <c r="AT32" i="1"/>
  <c r="H36" i="18"/>
  <c r="L37" i="18"/>
  <c r="F36" i="18"/>
  <c r="I36" i="18"/>
  <c r="B21" i="18"/>
  <c r="C35" i="7"/>
  <c r="AF45" i="7" s="1"/>
  <c r="I4" i="3" s="1"/>
  <c r="G36" i="18"/>
  <c r="F2" i="3"/>
  <c r="E2" i="3"/>
  <c r="D2" i="3"/>
  <c r="I44" i="18"/>
  <c r="G44" i="18"/>
  <c r="AU19" i="18"/>
  <c r="AU20" i="18"/>
  <c r="AU21" i="18"/>
  <c r="AU22" i="18"/>
  <c r="AU23" i="18"/>
  <c r="AU24" i="18"/>
  <c r="AU25" i="18"/>
  <c r="AU26" i="18"/>
  <c r="AU27" i="18"/>
  <c r="AU28" i="18"/>
  <c r="AU29" i="18"/>
  <c r="AU30" i="18"/>
  <c r="AU31" i="18"/>
  <c r="AU18" i="18"/>
  <c r="AI56" i="18"/>
  <c r="F39" i="18"/>
  <c r="M21" i="18"/>
  <c r="M22" i="18"/>
  <c r="D28" i="18"/>
  <c r="B43" i="18"/>
  <c r="I26" i="6"/>
  <c r="I25" i="6"/>
  <c r="I24" i="6"/>
  <c r="I23" i="6"/>
  <c r="J10" i="17"/>
  <c r="J30" i="10"/>
  <c r="J31" i="10"/>
  <c r="J88" i="10"/>
  <c r="J89" i="10"/>
  <c r="D27" i="7"/>
  <c r="D28" i="7"/>
  <c r="L25" i="7"/>
  <c r="R22" i="18" s="1"/>
  <c r="M25" i="7"/>
  <c r="N25" i="7"/>
  <c r="BI4" i="1" s="1"/>
  <c r="AG31" i="18"/>
  <c r="AG32" i="18"/>
  <c r="AG33" i="18"/>
  <c r="L26" i="7"/>
  <c r="M26" i="7"/>
  <c r="N26" i="7"/>
  <c r="T23" i="18" s="1"/>
  <c r="L27" i="7"/>
  <c r="R24" i="18" s="1"/>
  <c r="M27" i="7"/>
  <c r="S24" i="18" s="1"/>
  <c r="N27" i="7"/>
  <c r="L28" i="7"/>
  <c r="R25" i="18" s="1"/>
  <c r="M28" i="7"/>
  <c r="S25" i="18" s="1"/>
  <c r="N28" i="7"/>
  <c r="T25" i="18" s="1"/>
  <c r="L24" i="7"/>
  <c r="M24" i="7"/>
  <c r="S21" i="18" s="1"/>
  <c r="N24" i="7"/>
  <c r="T21" i="18" s="1"/>
  <c r="O27" i="7"/>
  <c r="O28" i="7"/>
  <c r="U25" i="18"/>
  <c r="AM35" i="18" s="1"/>
  <c r="P25" i="7"/>
  <c r="V22" i="18" s="1"/>
  <c r="P26" i="7"/>
  <c r="V23" i="18" s="1"/>
  <c r="P27" i="7"/>
  <c r="V24" i="18" s="1"/>
  <c r="P28" i="7"/>
  <c r="V25" i="18" s="1"/>
  <c r="P24" i="7"/>
  <c r="V21" i="18" s="1"/>
  <c r="AK20" i="7"/>
  <c r="AI20" i="7"/>
  <c r="AK19" i="7"/>
  <c r="AI19" i="7"/>
  <c r="AH36" i="18"/>
  <c r="AO26" i="18"/>
  <c r="C36" i="7"/>
  <c r="C9" i="1" s="1"/>
  <c r="C37" i="7"/>
  <c r="C23" i="18" s="1"/>
  <c r="AH33" i="18" s="1"/>
  <c r="C38" i="7"/>
  <c r="C11" i="1" s="1"/>
  <c r="I36" i="7"/>
  <c r="I37" i="7"/>
  <c r="I38" i="7"/>
  <c r="I39" i="7"/>
  <c r="AS17" i="7"/>
  <c r="AT17" i="7"/>
  <c r="AS18" i="7"/>
  <c r="AT18" i="7" s="1"/>
  <c r="AS19" i="7"/>
  <c r="AT19" i="7" s="1"/>
  <c r="AS20" i="7"/>
  <c r="AT20" i="7" s="1"/>
  <c r="AS16" i="7"/>
  <c r="AN21" i="7" s="1"/>
  <c r="AT16" i="7"/>
  <c r="B1" i="16"/>
  <c r="B1" i="4"/>
  <c r="B1" i="13"/>
  <c r="C1" i="18"/>
  <c r="B1" i="17"/>
  <c r="C1" i="20"/>
  <c r="C1" i="1"/>
  <c r="C1" i="7"/>
  <c r="C1" i="12"/>
  <c r="L2" i="18"/>
  <c r="E1" i="21"/>
  <c r="D1" i="13" s="1"/>
  <c r="I2" i="7"/>
  <c r="O2" i="1"/>
  <c r="N53" i="1"/>
  <c r="N33" i="1"/>
  <c r="AR52" i="1"/>
  <c r="AQ52" i="1"/>
  <c r="AP52" i="1"/>
  <c r="AO52" i="1"/>
  <c r="AN52" i="1"/>
  <c r="AR51" i="1"/>
  <c r="AQ51" i="1"/>
  <c r="AP51" i="1"/>
  <c r="AO51" i="1"/>
  <c r="AN51" i="1"/>
  <c r="AR50" i="1"/>
  <c r="AQ50" i="1"/>
  <c r="AP50" i="1"/>
  <c r="AO50" i="1"/>
  <c r="AN50" i="1"/>
  <c r="AR49" i="1"/>
  <c r="AQ49" i="1"/>
  <c r="AP49" i="1"/>
  <c r="AO49" i="1"/>
  <c r="AN49" i="1"/>
  <c r="AR48" i="1"/>
  <c r="AQ48" i="1"/>
  <c r="AP48" i="1"/>
  <c r="AO48" i="1"/>
  <c r="AN48" i="1"/>
  <c r="AR47" i="1"/>
  <c r="AQ47" i="1"/>
  <c r="AP47" i="1"/>
  <c r="AO47" i="1"/>
  <c r="AN47" i="1"/>
  <c r="AR46" i="1"/>
  <c r="AQ46" i="1"/>
  <c r="AO46" i="1"/>
  <c r="AP45" i="1"/>
  <c r="AO45" i="1"/>
  <c r="AR44" i="1"/>
  <c r="AQ44" i="1"/>
  <c r="AP44" i="1"/>
  <c r="AO44" i="1"/>
  <c r="AR43" i="1"/>
  <c r="AQ43" i="1"/>
  <c r="AO43" i="1"/>
  <c r="AR42" i="1"/>
  <c r="AQ42" i="1"/>
  <c r="AO42" i="1"/>
  <c r="AN42" i="1"/>
  <c r="AQ41" i="1"/>
  <c r="AO41" i="1"/>
  <c r="AN41" i="1"/>
  <c r="AP24" i="1"/>
  <c r="AP25" i="1"/>
  <c r="AP27" i="1"/>
  <c r="AP28" i="1"/>
  <c r="AP29" i="1"/>
  <c r="AP30" i="1"/>
  <c r="AP31" i="1"/>
  <c r="AP32" i="1"/>
  <c r="AO22" i="1"/>
  <c r="AO23" i="1"/>
  <c r="AO24" i="1"/>
  <c r="AO25" i="1"/>
  <c r="AO26" i="1"/>
  <c r="AO33" i="1" s="1"/>
  <c r="AO27" i="1"/>
  <c r="AO28" i="1"/>
  <c r="AO29" i="1"/>
  <c r="AO30" i="1"/>
  <c r="AO31" i="1"/>
  <c r="AO32" i="1"/>
  <c r="AO21" i="1"/>
  <c r="AN22" i="1"/>
  <c r="AN23" i="1"/>
  <c r="AN24" i="1"/>
  <c r="AN25" i="1"/>
  <c r="AN30" i="1"/>
  <c r="E41" i="2" s="1"/>
  <c r="F41" i="2" s="1"/>
  <c r="AN31" i="1"/>
  <c r="AN32" i="1"/>
  <c r="AN21" i="1"/>
  <c r="AG23" i="18"/>
  <c r="AG24" i="18"/>
  <c r="AG25" i="18"/>
  <c r="AG26" i="18"/>
  <c r="AG27" i="18"/>
  <c r="AH28" i="18"/>
  <c r="C37" i="18"/>
  <c r="AG22" i="18"/>
  <c r="AX84" i="20"/>
  <c r="AX83" i="20"/>
  <c r="AX82" i="20"/>
  <c r="AX81" i="20"/>
  <c r="AX63" i="20"/>
  <c r="AX64" i="20"/>
  <c r="AX65" i="20"/>
  <c r="AX66" i="20"/>
  <c r="AO62" i="1"/>
  <c r="AO63" i="1"/>
  <c r="AO64" i="1"/>
  <c r="AO65" i="1"/>
  <c r="AO66" i="1"/>
  <c r="AO67" i="1"/>
  <c r="AO68" i="1"/>
  <c r="AO69" i="1"/>
  <c r="AO70" i="1"/>
  <c r="AO71" i="1"/>
  <c r="AO72" i="1"/>
  <c r="AO61" i="1"/>
  <c r="AG36" i="18"/>
  <c r="AI36" i="18"/>
  <c r="AJ36" i="18"/>
  <c r="AK36" i="18"/>
  <c r="AL36" i="18"/>
  <c r="AM36" i="18"/>
  <c r="AF36" i="18"/>
  <c r="AM56" i="18"/>
  <c r="AM57" i="18"/>
  <c r="AM58" i="18"/>
  <c r="AI6" i="18"/>
  <c r="AJ19" i="18"/>
  <c r="AG34" i="18"/>
  <c r="AG35" i="18"/>
  <c r="AF32" i="18"/>
  <c r="AF33" i="18"/>
  <c r="AF34" i="18"/>
  <c r="AF35" i="18"/>
  <c r="AF31" i="18"/>
  <c r="K2" i="18"/>
  <c r="I2" i="18"/>
  <c r="F20" i="18"/>
  <c r="V20" i="18"/>
  <c r="U20" i="18"/>
  <c r="T20" i="18"/>
  <c r="S20" i="18"/>
  <c r="R20" i="18"/>
  <c r="Q20" i="18"/>
  <c r="P20" i="18"/>
  <c r="B22" i="18"/>
  <c r="N22" i="18"/>
  <c r="B23" i="18"/>
  <c r="M23" i="18"/>
  <c r="AQ23" i="18" s="1"/>
  <c r="AR23" i="18" s="1"/>
  <c r="N23" i="18"/>
  <c r="B24" i="18"/>
  <c r="M24" i="18"/>
  <c r="N24" i="18"/>
  <c r="B25" i="18"/>
  <c r="M25" i="18"/>
  <c r="N25" i="18"/>
  <c r="N21" i="18"/>
  <c r="AQ21" i="18" s="1"/>
  <c r="AR21" i="18" s="1"/>
  <c r="AS21" i="18" s="1"/>
  <c r="O2" i="20"/>
  <c r="K2" i="20"/>
  <c r="H2" i="7"/>
  <c r="F2" i="7"/>
  <c r="S10" i="20"/>
  <c r="U10" i="20"/>
  <c r="V10" i="20"/>
  <c r="W10" i="20"/>
  <c r="X10" i="20"/>
  <c r="Y10" i="20"/>
  <c r="AG10" i="20"/>
  <c r="AI10" i="20"/>
  <c r="AJ10" i="20"/>
  <c r="AK10" i="20"/>
  <c r="AL10" i="20"/>
  <c r="AM10" i="20"/>
  <c r="AF10" i="20"/>
  <c r="R10" i="20"/>
  <c r="B9" i="20"/>
  <c r="B30" i="20" s="1"/>
  <c r="P9" i="20"/>
  <c r="B48" i="20" s="1"/>
  <c r="AD9" i="20"/>
  <c r="B66" i="20" s="1"/>
  <c r="H10" i="20"/>
  <c r="E10" i="20"/>
  <c r="G10" i="20"/>
  <c r="I10" i="20"/>
  <c r="J10" i="20"/>
  <c r="K10" i="20"/>
  <c r="D10" i="20"/>
  <c r="BF81" i="20"/>
  <c r="BB81" i="20"/>
  <c r="BB45" i="20"/>
  <c r="BI17" i="20"/>
  <c r="BI18" i="20"/>
  <c r="BH19" i="20"/>
  <c r="BI19" i="20"/>
  <c r="BH20" i="20"/>
  <c r="BI20" i="20"/>
  <c r="BH21" i="20"/>
  <c r="BH22" i="20"/>
  <c r="BH23" i="20"/>
  <c r="AN5" i="1"/>
  <c r="AN6" i="1"/>
  <c r="AO6" i="1"/>
  <c r="AN7" i="1"/>
  <c r="AO7" i="1"/>
  <c r="AN8" i="1"/>
  <c r="AO8" i="1"/>
  <c r="AP8" i="1"/>
  <c r="P10" i="20"/>
  <c r="Z171" i="3"/>
  <c r="X171" i="3"/>
  <c r="V171" i="3"/>
  <c r="T171" i="3"/>
  <c r="Z170" i="3"/>
  <c r="X170" i="3"/>
  <c r="V170" i="3"/>
  <c r="T170" i="3"/>
  <c r="Z169" i="3"/>
  <c r="X169" i="3"/>
  <c r="V169" i="3"/>
  <c r="T169" i="3"/>
  <c r="Z168" i="3"/>
  <c r="X168" i="3"/>
  <c r="V168" i="3"/>
  <c r="T168" i="3"/>
  <c r="Z167" i="3"/>
  <c r="X167" i="3"/>
  <c r="V167" i="3"/>
  <c r="T167" i="3"/>
  <c r="Z166" i="3"/>
  <c r="X166" i="3"/>
  <c r="V166" i="3"/>
  <c r="T166" i="3"/>
  <c r="Z165" i="3"/>
  <c r="X165" i="3"/>
  <c r="V165" i="3"/>
  <c r="T165" i="3"/>
  <c r="Z164" i="3"/>
  <c r="X164" i="3"/>
  <c r="V164" i="3"/>
  <c r="T164" i="3"/>
  <c r="Z163" i="3"/>
  <c r="X163" i="3"/>
  <c r="V163" i="3"/>
  <c r="T163" i="3"/>
  <c r="Z162" i="3"/>
  <c r="X162" i="3"/>
  <c r="V162" i="3"/>
  <c r="T162" i="3"/>
  <c r="Z161" i="3"/>
  <c r="X161" i="3"/>
  <c r="V161" i="3"/>
  <c r="T161" i="3"/>
  <c r="Z160" i="3"/>
  <c r="X160" i="3"/>
  <c r="V160" i="3"/>
  <c r="T160" i="3"/>
  <c r="Z159" i="3"/>
  <c r="X159" i="3"/>
  <c r="V159" i="3"/>
  <c r="T159" i="3"/>
  <c r="Z158" i="3"/>
  <c r="X158" i="3"/>
  <c r="V158" i="3"/>
  <c r="T158" i="3"/>
  <c r="Z157" i="3"/>
  <c r="X157" i="3"/>
  <c r="V157" i="3"/>
  <c r="T157" i="3"/>
  <c r="Z156" i="3"/>
  <c r="X156" i="3"/>
  <c r="V156" i="3"/>
  <c r="T156" i="3"/>
  <c r="Z155" i="3"/>
  <c r="X155" i="3"/>
  <c r="V155" i="3"/>
  <c r="T155" i="3"/>
  <c r="Z154" i="3"/>
  <c r="X154" i="3"/>
  <c r="V154" i="3"/>
  <c r="T154" i="3"/>
  <c r="Z153" i="3"/>
  <c r="X153" i="3"/>
  <c r="V153" i="3"/>
  <c r="T153" i="3"/>
  <c r="Z152" i="3"/>
  <c r="X152" i="3"/>
  <c r="V152" i="3"/>
  <c r="T152" i="3"/>
  <c r="Z151" i="3"/>
  <c r="X151" i="3"/>
  <c r="V151" i="3"/>
  <c r="T151" i="3"/>
  <c r="Z150" i="3"/>
  <c r="X150" i="3"/>
  <c r="V150" i="3"/>
  <c r="T150" i="3"/>
  <c r="Z149" i="3"/>
  <c r="X149" i="3"/>
  <c r="V149" i="3"/>
  <c r="T149" i="3"/>
  <c r="Z148" i="3"/>
  <c r="X148" i="3"/>
  <c r="V148" i="3"/>
  <c r="T148" i="3"/>
  <c r="Z147" i="3"/>
  <c r="X147" i="3"/>
  <c r="V147" i="3"/>
  <c r="T147" i="3"/>
  <c r="Z146" i="3"/>
  <c r="X146" i="3"/>
  <c r="V146" i="3"/>
  <c r="T146" i="3"/>
  <c r="Z145" i="3"/>
  <c r="X145" i="3"/>
  <c r="V145" i="3"/>
  <c r="T145" i="3"/>
  <c r="Z144" i="3"/>
  <c r="X144" i="3"/>
  <c r="V144" i="3"/>
  <c r="T144" i="3"/>
  <c r="Z143" i="3"/>
  <c r="X143" i="3"/>
  <c r="V143" i="3"/>
  <c r="T143" i="3"/>
  <c r="Z142" i="3"/>
  <c r="X142" i="3"/>
  <c r="V142" i="3"/>
  <c r="T142" i="3"/>
  <c r="Z141" i="3"/>
  <c r="X141" i="3"/>
  <c r="V141" i="3"/>
  <c r="T141" i="3"/>
  <c r="Z140" i="3"/>
  <c r="X140" i="3"/>
  <c r="V140" i="3"/>
  <c r="T140" i="3"/>
  <c r="Z139" i="3"/>
  <c r="X139" i="3"/>
  <c r="V139" i="3"/>
  <c r="T139" i="3"/>
  <c r="Z138" i="3"/>
  <c r="X138" i="3"/>
  <c r="V138" i="3"/>
  <c r="T138" i="3"/>
  <c r="Z137" i="3"/>
  <c r="X137" i="3"/>
  <c r="V137" i="3"/>
  <c r="T137" i="3"/>
  <c r="Z136" i="3"/>
  <c r="X136" i="3"/>
  <c r="V136" i="3"/>
  <c r="T136" i="3"/>
  <c r="Z135" i="3"/>
  <c r="X135" i="3"/>
  <c r="V135" i="3"/>
  <c r="T135" i="3"/>
  <c r="Z134" i="3"/>
  <c r="X134" i="3"/>
  <c r="V134" i="3"/>
  <c r="T134" i="3"/>
  <c r="Z133" i="3"/>
  <c r="X133" i="3"/>
  <c r="V133" i="3"/>
  <c r="T133" i="3"/>
  <c r="Z132" i="3"/>
  <c r="X132" i="3"/>
  <c r="V132" i="3"/>
  <c r="T132" i="3"/>
  <c r="Z131" i="3"/>
  <c r="X131" i="3"/>
  <c r="V131" i="3"/>
  <c r="T131" i="3"/>
  <c r="Z130" i="3"/>
  <c r="X130" i="3"/>
  <c r="V130" i="3"/>
  <c r="T130" i="3"/>
  <c r="Z129" i="3"/>
  <c r="X129" i="3"/>
  <c r="V129" i="3"/>
  <c r="T129" i="3"/>
  <c r="Z128" i="3"/>
  <c r="X128" i="3"/>
  <c r="V128" i="3"/>
  <c r="T128" i="3"/>
  <c r="Z127" i="3"/>
  <c r="X127" i="3"/>
  <c r="V127" i="3"/>
  <c r="T127" i="3"/>
  <c r="Z126" i="3"/>
  <c r="X126" i="3"/>
  <c r="V126" i="3"/>
  <c r="T126" i="3"/>
  <c r="Z125" i="3"/>
  <c r="X125" i="3"/>
  <c r="V125" i="3"/>
  <c r="T125" i="3"/>
  <c r="Z124" i="3"/>
  <c r="X124" i="3"/>
  <c r="V124" i="3"/>
  <c r="T124" i="3"/>
  <c r="Z123" i="3"/>
  <c r="X123" i="3"/>
  <c r="V123" i="3"/>
  <c r="T123" i="3"/>
  <c r="Z122" i="3"/>
  <c r="X122" i="3"/>
  <c r="V122" i="3"/>
  <c r="T122" i="3"/>
  <c r="Z121" i="3"/>
  <c r="X121" i="3"/>
  <c r="V121" i="3"/>
  <c r="T121" i="3"/>
  <c r="Z120" i="3"/>
  <c r="X120" i="3"/>
  <c r="V120" i="3"/>
  <c r="T120" i="3"/>
  <c r="Z119" i="3"/>
  <c r="X119" i="3"/>
  <c r="V119" i="3"/>
  <c r="T119" i="3"/>
  <c r="Z118" i="3"/>
  <c r="X118" i="3"/>
  <c r="V118" i="3"/>
  <c r="T118" i="3"/>
  <c r="Z117" i="3"/>
  <c r="X117" i="3"/>
  <c r="V117" i="3"/>
  <c r="T117" i="3"/>
  <c r="Z116" i="3"/>
  <c r="X116" i="3"/>
  <c r="V116" i="3"/>
  <c r="T116" i="3"/>
  <c r="Z115" i="3"/>
  <c r="X115" i="3"/>
  <c r="V115" i="3"/>
  <c r="T115" i="3"/>
  <c r="Z114" i="3"/>
  <c r="X114" i="3"/>
  <c r="V114" i="3"/>
  <c r="T114" i="3"/>
  <c r="Z113" i="3"/>
  <c r="X113" i="3"/>
  <c r="V113" i="3"/>
  <c r="T113" i="3"/>
  <c r="Z112" i="3"/>
  <c r="X112" i="3"/>
  <c r="V112" i="3"/>
  <c r="T112" i="3"/>
  <c r="Z111" i="3"/>
  <c r="X111" i="3"/>
  <c r="V111" i="3"/>
  <c r="T111" i="3"/>
  <c r="Z110" i="3"/>
  <c r="X110" i="3"/>
  <c r="V110" i="3"/>
  <c r="T110" i="3"/>
  <c r="Z109" i="3"/>
  <c r="X109" i="3"/>
  <c r="V109" i="3"/>
  <c r="T109" i="3"/>
  <c r="Z108" i="3"/>
  <c r="X108" i="3"/>
  <c r="V108" i="3"/>
  <c r="T108" i="3"/>
  <c r="Z107" i="3"/>
  <c r="X107" i="3"/>
  <c r="V107" i="3"/>
  <c r="T107" i="3"/>
  <c r="Z106" i="3"/>
  <c r="X106" i="3"/>
  <c r="V106" i="3"/>
  <c r="T106" i="3"/>
  <c r="Z105" i="3"/>
  <c r="X105" i="3"/>
  <c r="V105" i="3"/>
  <c r="T105" i="3"/>
  <c r="Z104" i="3"/>
  <c r="X104" i="3"/>
  <c r="V104" i="3"/>
  <c r="T104" i="3"/>
  <c r="Z103" i="3"/>
  <c r="X103" i="3"/>
  <c r="V103" i="3"/>
  <c r="T103" i="3"/>
  <c r="Z102" i="3"/>
  <c r="X102" i="3"/>
  <c r="V102" i="3"/>
  <c r="T102" i="3"/>
  <c r="Z101" i="3"/>
  <c r="X101" i="3"/>
  <c r="V101" i="3"/>
  <c r="T101" i="3"/>
  <c r="Z100" i="3"/>
  <c r="X100" i="3"/>
  <c r="V100" i="3"/>
  <c r="T100" i="3"/>
  <c r="Z99" i="3"/>
  <c r="X99" i="3"/>
  <c r="V99" i="3"/>
  <c r="T99" i="3"/>
  <c r="Z98" i="3"/>
  <c r="X98" i="3"/>
  <c r="V98" i="3"/>
  <c r="T98" i="3"/>
  <c r="Z97" i="3"/>
  <c r="X97" i="3"/>
  <c r="V97" i="3"/>
  <c r="T97" i="3"/>
  <c r="Z96" i="3"/>
  <c r="X96" i="3"/>
  <c r="V96" i="3"/>
  <c r="T96" i="3"/>
  <c r="Z95" i="3"/>
  <c r="X95" i="3"/>
  <c r="V95" i="3"/>
  <c r="T95" i="3"/>
  <c r="Z94" i="3"/>
  <c r="X94" i="3"/>
  <c r="V94" i="3"/>
  <c r="T94" i="3"/>
  <c r="Z93" i="3"/>
  <c r="X93" i="3"/>
  <c r="V93" i="3"/>
  <c r="T93" i="3"/>
  <c r="Z92" i="3"/>
  <c r="X92" i="3"/>
  <c r="V92" i="3"/>
  <c r="T92" i="3"/>
  <c r="Z91" i="3"/>
  <c r="X91" i="3"/>
  <c r="V91" i="3"/>
  <c r="T91" i="3"/>
  <c r="Z90" i="3"/>
  <c r="X90" i="3"/>
  <c r="V90" i="3"/>
  <c r="T90" i="3"/>
  <c r="Z89" i="3"/>
  <c r="X89" i="3"/>
  <c r="V89" i="3"/>
  <c r="T89" i="3"/>
  <c r="Z88" i="3"/>
  <c r="X88" i="3"/>
  <c r="V88" i="3"/>
  <c r="T88" i="3"/>
  <c r="Z87" i="3"/>
  <c r="X87" i="3"/>
  <c r="V87" i="3"/>
  <c r="T87" i="3"/>
  <c r="Z86" i="3"/>
  <c r="X86" i="3"/>
  <c r="V86" i="3"/>
  <c r="T86" i="3"/>
  <c r="Z85" i="3"/>
  <c r="X85" i="3"/>
  <c r="V85" i="3"/>
  <c r="T85" i="3"/>
  <c r="Z84" i="3"/>
  <c r="X84" i="3"/>
  <c r="V84" i="3"/>
  <c r="T84" i="3"/>
  <c r="Z83" i="3"/>
  <c r="X83" i="3"/>
  <c r="V83" i="3"/>
  <c r="T83" i="3"/>
  <c r="Z82" i="3"/>
  <c r="X82" i="3"/>
  <c r="V82" i="3"/>
  <c r="T82" i="3"/>
  <c r="Z81" i="3"/>
  <c r="X81" i="3"/>
  <c r="V81" i="3"/>
  <c r="T81" i="3"/>
  <c r="Z80" i="3"/>
  <c r="X80" i="3"/>
  <c r="V80" i="3"/>
  <c r="T80" i="3"/>
  <c r="Z79" i="3"/>
  <c r="X79" i="3"/>
  <c r="V79" i="3"/>
  <c r="T79" i="3"/>
  <c r="Z78" i="3"/>
  <c r="X78" i="3"/>
  <c r="V78" i="3"/>
  <c r="T78" i="3"/>
  <c r="Z77" i="3"/>
  <c r="X77" i="3"/>
  <c r="V77" i="3"/>
  <c r="T77" i="3"/>
  <c r="Z76" i="3"/>
  <c r="X76" i="3"/>
  <c r="V76" i="3"/>
  <c r="T76" i="3"/>
  <c r="Z75" i="3"/>
  <c r="X75" i="3"/>
  <c r="V75" i="3"/>
  <c r="T75" i="3"/>
  <c r="Z74" i="3"/>
  <c r="X74" i="3"/>
  <c r="V74" i="3"/>
  <c r="T74" i="3"/>
  <c r="Z73" i="3"/>
  <c r="X73" i="3"/>
  <c r="V73" i="3"/>
  <c r="T73" i="3"/>
  <c r="Z72" i="3"/>
  <c r="X72" i="3"/>
  <c r="V72" i="3"/>
  <c r="T72" i="3"/>
  <c r="Z71" i="3"/>
  <c r="X71" i="3"/>
  <c r="V71" i="3"/>
  <c r="T71" i="3"/>
  <c r="Z70" i="3"/>
  <c r="X70" i="3"/>
  <c r="V70" i="3"/>
  <c r="T70" i="3"/>
  <c r="Z69" i="3"/>
  <c r="X69" i="3"/>
  <c r="V69" i="3"/>
  <c r="T69" i="3"/>
  <c r="Z68" i="3"/>
  <c r="X68" i="3"/>
  <c r="V68" i="3"/>
  <c r="T68" i="3"/>
  <c r="Z67" i="3"/>
  <c r="X67" i="3"/>
  <c r="V67" i="3"/>
  <c r="T67" i="3"/>
  <c r="Z66" i="3"/>
  <c r="X66" i="3"/>
  <c r="V66" i="3"/>
  <c r="T66" i="3"/>
  <c r="Z65" i="3"/>
  <c r="X65" i="3"/>
  <c r="V65" i="3"/>
  <c r="T65" i="3"/>
  <c r="Z64" i="3"/>
  <c r="X64" i="3"/>
  <c r="V64" i="3"/>
  <c r="T64" i="3"/>
  <c r="Z63" i="3"/>
  <c r="X63" i="3"/>
  <c r="V63" i="3"/>
  <c r="T63" i="3"/>
  <c r="Z62" i="3"/>
  <c r="X62" i="3"/>
  <c r="V62" i="3"/>
  <c r="T62" i="3"/>
  <c r="Z61" i="3"/>
  <c r="X61" i="3"/>
  <c r="V61" i="3"/>
  <c r="T61" i="3"/>
  <c r="Z60" i="3"/>
  <c r="X60" i="3"/>
  <c r="V60" i="3"/>
  <c r="T60" i="3"/>
  <c r="Z59" i="3"/>
  <c r="X59" i="3"/>
  <c r="V59" i="3"/>
  <c r="T59" i="3"/>
  <c r="Z58" i="3"/>
  <c r="X58" i="3"/>
  <c r="V58" i="3"/>
  <c r="T58" i="3"/>
  <c r="Z57" i="3"/>
  <c r="X57" i="3"/>
  <c r="V57" i="3"/>
  <c r="T57" i="3"/>
  <c r="Z56" i="3"/>
  <c r="X56" i="3"/>
  <c r="V56" i="3"/>
  <c r="T56" i="3"/>
  <c r="Z55" i="3"/>
  <c r="X55" i="3"/>
  <c r="V55" i="3"/>
  <c r="T55" i="3"/>
  <c r="Z54" i="3"/>
  <c r="X54" i="3"/>
  <c r="V54" i="3"/>
  <c r="T54" i="3"/>
  <c r="Z53" i="3"/>
  <c r="X53" i="3"/>
  <c r="V53" i="3"/>
  <c r="T53" i="3"/>
  <c r="Z52" i="3"/>
  <c r="X52" i="3"/>
  <c r="V52" i="3"/>
  <c r="T52" i="3"/>
  <c r="Z51" i="3"/>
  <c r="X51" i="3"/>
  <c r="V51" i="3"/>
  <c r="T51" i="3"/>
  <c r="Z50" i="3"/>
  <c r="X50" i="3"/>
  <c r="V50" i="3"/>
  <c r="T50" i="3"/>
  <c r="Z49" i="3"/>
  <c r="X49" i="3"/>
  <c r="V49" i="3"/>
  <c r="T49" i="3"/>
  <c r="Z48" i="3"/>
  <c r="X48" i="3"/>
  <c r="V48" i="3"/>
  <c r="T48" i="3"/>
  <c r="Z47" i="3"/>
  <c r="X47" i="3"/>
  <c r="V47" i="3"/>
  <c r="T47" i="3"/>
  <c r="Z46" i="3"/>
  <c r="X46" i="3"/>
  <c r="V46" i="3"/>
  <c r="T46" i="3"/>
  <c r="Z45" i="3"/>
  <c r="X45" i="3"/>
  <c r="V45" i="3"/>
  <c r="T45" i="3"/>
  <c r="Z44" i="3"/>
  <c r="X44" i="3"/>
  <c r="V44" i="3"/>
  <c r="T44" i="3"/>
  <c r="Z43" i="3"/>
  <c r="X43" i="3"/>
  <c r="V43" i="3"/>
  <c r="T43" i="3"/>
  <c r="Z42" i="3"/>
  <c r="X42" i="3"/>
  <c r="V42" i="3"/>
  <c r="T42" i="3"/>
  <c r="Z41" i="3"/>
  <c r="X41" i="3"/>
  <c r="V41" i="3"/>
  <c r="T41" i="3"/>
  <c r="Z40" i="3"/>
  <c r="X40" i="3"/>
  <c r="V40" i="3"/>
  <c r="T40" i="3"/>
  <c r="Z39" i="3"/>
  <c r="X39" i="3"/>
  <c r="V39" i="3"/>
  <c r="T39" i="3"/>
  <c r="Z38" i="3"/>
  <c r="X38" i="3"/>
  <c r="V38" i="3"/>
  <c r="T38" i="3"/>
  <c r="Z37" i="3"/>
  <c r="X37" i="3"/>
  <c r="V37" i="3"/>
  <c r="T37" i="3"/>
  <c r="Z36" i="3"/>
  <c r="X36" i="3"/>
  <c r="V36" i="3"/>
  <c r="T36" i="3"/>
  <c r="Z35" i="3"/>
  <c r="X35" i="3"/>
  <c r="V35" i="3"/>
  <c r="T35" i="3"/>
  <c r="Z34" i="3"/>
  <c r="X34" i="3"/>
  <c r="V34" i="3"/>
  <c r="T34" i="3"/>
  <c r="Z33" i="3"/>
  <c r="X33" i="3"/>
  <c r="V33" i="3"/>
  <c r="T33" i="3"/>
  <c r="Z32" i="3"/>
  <c r="X32" i="3"/>
  <c r="V32" i="3"/>
  <c r="T32" i="3"/>
  <c r="Z31" i="3"/>
  <c r="X31" i="3"/>
  <c r="V31" i="3"/>
  <c r="T31" i="3"/>
  <c r="Z30" i="3"/>
  <c r="X30" i="3"/>
  <c r="V30" i="3"/>
  <c r="T30" i="3"/>
  <c r="Z29" i="3"/>
  <c r="X29" i="3"/>
  <c r="V29" i="3"/>
  <c r="T29" i="3"/>
  <c r="Z28" i="3"/>
  <c r="X28" i="3"/>
  <c r="V28" i="3"/>
  <c r="T28" i="3"/>
  <c r="Z27" i="3"/>
  <c r="X27" i="3"/>
  <c r="V27" i="3"/>
  <c r="T27" i="3"/>
  <c r="Z26" i="3"/>
  <c r="X26" i="3"/>
  <c r="V26" i="3"/>
  <c r="T26" i="3"/>
  <c r="Z25" i="3"/>
  <c r="X25" i="3"/>
  <c r="V25" i="3"/>
  <c r="T25" i="3"/>
  <c r="Z24" i="3"/>
  <c r="X24" i="3"/>
  <c r="V24" i="3"/>
  <c r="T24" i="3"/>
  <c r="Z23" i="3"/>
  <c r="X23" i="3"/>
  <c r="V23" i="3"/>
  <c r="T23" i="3"/>
  <c r="Z22" i="3"/>
  <c r="X22" i="3"/>
  <c r="V22" i="3"/>
  <c r="T22" i="3"/>
  <c r="Z21" i="3"/>
  <c r="X21" i="3"/>
  <c r="V21" i="3"/>
  <c r="T21" i="3"/>
  <c r="Z20" i="3"/>
  <c r="X20" i="3"/>
  <c r="V20" i="3"/>
  <c r="T20" i="3"/>
  <c r="Z19" i="3"/>
  <c r="X19" i="3"/>
  <c r="V19" i="3"/>
  <c r="T19" i="3"/>
  <c r="Z18" i="3"/>
  <c r="X18" i="3"/>
  <c r="V18" i="3"/>
  <c r="T18" i="3"/>
  <c r="Z17" i="3"/>
  <c r="X17" i="3"/>
  <c r="V17" i="3"/>
  <c r="T17" i="3"/>
  <c r="Z16" i="3"/>
  <c r="X16" i="3"/>
  <c r="V16" i="3"/>
  <c r="T16" i="3"/>
  <c r="Z15" i="3"/>
  <c r="X15" i="3"/>
  <c r="V15" i="3"/>
  <c r="T15" i="3"/>
  <c r="Z14" i="3"/>
  <c r="X14" i="3"/>
  <c r="V14" i="3"/>
  <c r="T14" i="3"/>
  <c r="Z13" i="3"/>
  <c r="X13" i="3"/>
  <c r="V13" i="3"/>
  <c r="T13" i="3"/>
  <c r="Z12" i="3"/>
  <c r="X12" i="3"/>
  <c r="V12" i="3"/>
  <c r="T12" i="3"/>
  <c r="Z11" i="3"/>
  <c r="X11" i="3"/>
  <c r="V11" i="3"/>
  <c r="T11" i="3"/>
  <c r="Z10" i="3"/>
  <c r="X10" i="3"/>
  <c r="V10" i="3"/>
  <c r="T10" i="3"/>
  <c r="Z9" i="3"/>
  <c r="X9" i="3"/>
  <c r="V9" i="3"/>
  <c r="T9" i="3"/>
  <c r="Z8" i="3"/>
  <c r="X8" i="3"/>
  <c r="V8" i="3"/>
  <c r="T8" i="3"/>
  <c r="Z7" i="3"/>
  <c r="X7" i="3"/>
  <c r="V7" i="3"/>
  <c r="T7" i="3"/>
  <c r="Z6" i="3"/>
  <c r="X6" i="3"/>
  <c r="V6" i="3"/>
  <c r="T6" i="3"/>
  <c r="Z5" i="3"/>
  <c r="X5" i="3"/>
  <c r="V5" i="3"/>
  <c r="T5" i="3"/>
  <c r="Z4" i="3"/>
  <c r="X4" i="3"/>
  <c r="V4" i="3"/>
  <c r="T4" i="3"/>
  <c r="K4" i="1"/>
  <c r="BC6" i="1"/>
  <c r="BD6" i="1"/>
  <c r="BC7" i="1"/>
  <c r="BD7" i="1"/>
  <c r="E38" i="3"/>
  <c r="F38" i="3" s="1"/>
  <c r="H38" i="3" s="1"/>
  <c r="G41" i="2" s="1"/>
  <c r="D38" i="3"/>
  <c r="AK11" i="20"/>
  <c r="AL11" i="20"/>
  <c r="AM11" i="20"/>
  <c r="F12" i="20"/>
  <c r="G12" i="20"/>
  <c r="H12" i="20"/>
  <c r="P12" i="20"/>
  <c r="AD12" i="20"/>
  <c r="F13" i="20"/>
  <c r="G13" i="20"/>
  <c r="H13" i="20"/>
  <c r="I13" i="20"/>
  <c r="L13" i="20"/>
  <c r="P13" i="20"/>
  <c r="T13" i="20"/>
  <c r="U13" i="20"/>
  <c r="V13" i="20"/>
  <c r="W13" i="20"/>
  <c r="Z13" i="20"/>
  <c r="AD13" i="20"/>
  <c r="AH13" i="20"/>
  <c r="AI13" i="20"/>
  <c r="AJ13" i="20"/>
  <c r="AK13" i="20"/>
  <c r="F14" i="20"/>
  <c r="G14" i="20"/>
  <c r="H14" i="20"/>
  <c r="I14" i="20"/>
  <c r="L14" i="20"/>
  <c r="P14" i="20"/>
  <c r="T14" i="20"/>
  <c r="U14" i="20"/>
  <c r="V14" i="20"/>
  <c r="W14" i="20"/>
  <c r="Z14" i="20"/>
  <c r="AD14" i="20"/>
  <c r="AH14" i="20"/>
  <c r="AI14" i="20"/>
  <c r="AJ14" i="20"/>
  <c r="AK14" i="20"/>
  <c r="F15" i="20"/>
  <c r="G15" i="20"/>
  <c r="H15" i="20"/>
  <c r="I15" i="20"/>
  <c r="L15" i="20"/>
  <c r="P15" i="20"/>
  <c r="T15" i="20"/>
  <c r="U15" i="20"/>
  <c r="V15" i="20"/>
  <c r="W15" i="20"/>
  <c r="Z15" i="20"/>
  <c r="AD15" i="20"/>
  <c r="AH15" i="20"/>
  <c r="AI15" i="20"/>
  <c r="AJ15" i="20"/>
  <c r="AK15" i="20"/>
  <c r="F16" i="20"/>
  <c r="G16" i="20"/>
  <c r="H16" i="20"/>
  <c r="I16" i="20"/>
  <c r="L16" i="20"/>
  <c r="P16" i="20"/>
  <c r="T16" i="20"/>
  <c r="U16" i="20"/>
  <c r="V16" i="20"/>
  <c r="W16" i="20"/>
  <c r="Z16" i="20"/>
  <c r="AD16" i="20"/>
  <c r="AH16" i="20"/>
  <c r="AI16" i="20"/>
  <c r="AJ16" i="20"/>
  <c r="AK16" i="20"/>
  <c r="F17" i="20"/>
  <c r="G17" i="20"/>
  <c r="H17" i="20"/>
  <c r="I17" i="20"/>
  <c r="L17" i="20"/>
  <c r="P17" i="20"/>
  <c r="T17" i="20"/>
  <c r="U17" i="20"/>
  <c r="V17" i="20"/>
  <c r="W17" i="20"/>
  <c r="Z17" i="20"/>
  <c r="AD17" i="20"/>
  <c r="AF17" i="20"/>
  <c r="CL74" i="20" s="1"/>
  <c r="K74" i="20" s="1"/>
  <c r="AG17" i="20"/>
  <c r="U74" i="20" s="1"/>
  <c r="AH17" i="20"/>
  <c r="AI17" i="20"/>
  <c r="AJ17" i="20"/>
  <c r="AK17" i="20"/>
  <c r="AL17" i="20"/>
  <c r="S74" i="20" s="1"/>
  <c r="F18" i="20"/>
  <c r="G18" i="20"/>
  <c r="H18" i="20"/>
  <c r="I18" i="20"/>
  <c r="L18" i="20"/>
  <c r="P18" i="20"/>
  <c r="T18" i="20"/>
  <c r="U18" i="20"/>
  <c r="V18" i="20"/>
  <c r="W18" i="20"/>
  <c r="Z18" i="20"/>
  <c r="AD18" i="20"/>
  <c r="AF18" i="20"/>
  <c r="CL75" i="20" s="1"/>
  <c r="K75" i="20" s="1"/>
  <c r="AG18" i="20"/>
  <c r="AH18" i="20"/>
  <c r="AI18" i="20"/>
  <c r="AJ18" i="20"/>
  <c r="AK18" i="20"/>
  <c r="AL18" i="20"/>
  <c r="S75" i="20" s="1"/>
  <c r="F19" i="20"/>
  <c r="G19" i="20"/>
  <c r="H19" i="20"/>
  <c r="I19" i="20"/>
  <c r="L19" i="20"/>
  <c r="P19" i="20"/>
  <c r="R19" i="20"/>
  <c r="Y58" i="20" s="1"/>
  <c r="S19" i="20"/>
  <c r="U58" i="20" s="1"/>
  <c r="T19" i="20"/>
  <c r="U19" i="20"/>
  <c r="V19" i="20"/>
  <c r="W19" i="20"/>
  <c r="X19" i="20"/>
  <c r="E58" i="20" s="1"/>
  <c r="Z19" i="20"/>
  <c r="AD19" i="20"/>
  <c r="AF19" i="20"/>
  <c r="CL76" i="20" s="1"/>
  <c r="K76" i="20" s="1"/>
  <c r="AG19" i="20"/>
  <c r="AH19" i="20"/>
  <c r="AI19" i="20"/>
  <c r="AJ19" i="20"/>
  <c r="AK19" i="20"/>
  <c r="AL19" i="20"/>
  <c r="O76" i="20" s="1"/>
  <c r="F20" i="20"/>
  <c r="G20" i="20"/>
  <c r="H20" i="20"/>
  <c r="I20" i="20"/>
  <c r="P20" i="20"/>
  <c r="R20" i="20"/>
  <c r="CL59" i="20" s="1"/>
  <c r="K59" i="20" s="1"/>
  <c r="S20" i="20"/>
  <c r="U59" i="20" s="1"/>
  <c r="T20" i="20"/>
  <c r="U20" i="20"/>
  <c r="V20" i="20"/>
  <c r="W20" i="20"/>
  <c r="X20" i="20"/>
  <c r="E59" i="20" s="1"/>
  <c r="Z20" i="20"/>
  <c r="AD20" i="20"/>
  <c r="AF20" i="20"/>
  <c r="Y77" i="20" s="1"/>
  <c r="AG20" i="20"/>
  <c r="U77" i="20" s="1"/>
  <c r="AH20" i="20"/>
  <c r="AI20" i="20"/>
  <c r="AJ20" i="20"/>
  <c r="AK20" i="20"/>
  <c r="AL20" i="20"/>
  <c r="O77" i="20" s="1"/>
  <c r="P21" i="20"/>
  <c r="R21" i="20"/>
  <c r="Y60" i="20" s="1"/>
  <c r="S21" i="20"/>
  <c r="T21" i="20"/>
  <c r="U21" i="20"/>
  <c r="V21" i="20"/>
  <c r="W21" i="20"/>
  <c r="X21" i="20"/>
  <c r="O60" i="20" s="1"/>
  <c r="Z21" i="20"/>
  <c r="AD21" i="20"/>
  <c r="AF21" i="20"/>
  <c r="CL78" i="20" s="1"/>
  <c r="K78" i="20" s="1"/>
  <c r="AG21" i="20"/>
  <c r="Q78" i="20" s="1"/>
  <c r="AH21" i="20"/>
  <c r="AI21" i="20"/>
  <c r="AJ21" i="20"/>
  <c r="AK21" i="20"/>
  <c r="AL21" i="20"/>
  <c r="S78" i="20" s="1"/>
  <c r="F22" i="20"/>
  <c r="G22" i="20"/>
  <c r="H22" i="20"/>
  <c r="I22" i="20"/>
  <c r="P22" i="20"/>
  <c r="R22" i="20"/>
  <c r="Y61" i="20" s="1"/>
  <c r="S22" i="20"/>
  <c r="CH61" i="20" s="1"/>
  <c r="G61" i="20" s="1"/>
  <c r="T22" i="20"/>
  <c r="U22" i="20"/>
  <c r="V22" i="20"/>
  <c r="W22" i="20"/>
  <c r="X22" i="20"/>
  <c r="S61" i="20" s="1"/>
  <c r="Z22" i="20"/>
  <c r="AD22" i="20"/>
  <c r="AF22" i="20"/>
  <c r="CL79" i="20" s="1"/>
  <c r="K79" i="20" s="1"/>
  <c r="AG22" i="20"/>
  <c r="CH79" i="20" s="1"/>
  <c r="G79" i="20" s="1"/>
  <c r="AH22" i="20"/>
  <c r="AI22" i="20"/>
  <c r="AJ22" i="20"/>
  <c r="AK22" i="20"/>
  <c r="AL22" i="20"/>
  <c r="O79" i="20" s="1"/>
  <c r="D23" i="20"/>
  <c r="E23" i="20"/>
  <c r="Q44" i="20" s="1"/>
  <c r="F23" i="20"/>
  <c r="G23" i="20"/>
  <c r="H23" i="20"/>
  <c r="I23" i="20"/>
  <c r="J23" i="20"/>
  <c r="O44" i="20" s="1"/>
  <c r="L23" i="20"/>
  <c r="P23" i="20"/>
  <c r="R23" i="20"/>
  <c r="CL62" i="20" s="1"/>
  <c r="K62" i="20" s="1"/>
  <c r="S23" i="20"/>
  <c r="CH62" i="20" s="1"/>
  <c r="G62" i="20" s="1"/>
  <c r="T23" i="20"/>
  <c r="U23" i="20"/>
  <c r="V23" i="20"/>
  <c r="W23" i="20"/>
  <c r="X23" i="20"/>
  <c r="Z23" i="20"/>
  <c r="AD23" i="20"/>
  <c r="AF23" i="20"/>
  <c r="CL80" i="20" s="1"/>
  <c r="K80" i="20" s="1"/>
  <c r="AG23" i="20"/>
  <c r="U80" i="20" s="1"/>
  <c r="AH23" i="20"/>
  <c r="AI23" i="20"/>
  <c r="AJ23" i="20"/>
  <c r="AK23" i="20"/>
  <c r="AL23" i="20"/>
  <c r="O80" i="20" s="1"/>
  <c r="P8" i="20"/>
  <c r="AD8" i="20"/>
  <c r="AD10" i="20"/>
  <c r="C11" i="20"/>
  <c r="D11" i="20"/>
  <c r="E11" i="20"/>
  <c r="F11" i="20"/>
  <c r="G11" i="20"/>
  <c r="H11" i="20"/>
  <c r="I11" i="20"/>
  <c r="J11" i="20"/>
  <c r="K11" i="20"/>
  <c r="Q11" i="20"/>
  <c r="R11" i="20"/>
  <c r="S11" i="20"/>
  <c r="T11" i="20"/>
  <c r="U11" i="20"/>
  <c r="V11" i="20"/>
  <c r="W11" i="20"/>
  <c r="X11" i="20"/>
  <c r="Y11" i="20"/>
  <c r="AE11" i="20"/>
  <c r="AF11" i="20"/>
  <c r="AG11" i="20"/>
  <c r="AH11" i="20"/>
  <c r="AI11" i="20"/>
  <c r="AJ11" i="20"/>
  <c r="B23" i="20"/>
  <c r="B10" i="20"/>
  <c r="B12" i="20"/>
  <c r="B13" i="20"/>
  <c r="B14" i="20"/>
  <c r="B15" i="20"/>
  <c r="B16" i="20"/>
  <c r="B17" i="20"/>
  <c r="B18" i="20"/>
  <c r="B19" i="20"/>
  <c r="B20" i="20"/>
  <c r="B21" i="20"/>
  <c r="B22" i="20"/>
  <c r="B8" i="20"/>
  <c r="AV71" i="1"/>
  <c r="BC22" i="20" s="1"/>
  <c r="AV52" i="1"/>
  <c r="BB23" i="20"/>
  <c r="AV72" i="1"/>
  <c r="BC23" i="20" s="1"/>
  <c r="AU66" i="1"/>
  <c r="AZ17" i="20" s="1"/>
  <c r="AU67" i="1"/>
  <c r="AZ18" i="20" s="1"/>
  <c r="AU48" i="1"/>
  <c r="AY19" i="20" s="1"/>
  <c r="AU68" i="1"/>
  <c r="AZ19" i="20" s="1"/>
  <c r="AU49" i="1"/>
  <c r="AY20" i="20"/>
  <c r="AV49" i="1"/>
  <c r="BB20" i="20" s="1"/>
  <c r="AU69" i="1"/>
  <c r="AZ20" i="20" s="1"/>
  <c r="AU50" i="1"/>
  <c r="AY21" i="20" s="1"/>
  <c r="AU70" i="1"/>
  <c r="AZ21" i="20" s="1"/>
  <c r="AU51" i="1"/>
  <c r="AY22" i="20" s="1"/>
  <c r="AU71" i="1"/>
  <c r="AZ22" i="20" s="1"/>
  <c r="AU32" i="1"/>
  <c r="AX23" i="20"/>
  <c r="AU52" i="1"/>
  <c r="AY23" i="20" s="1"/>
  <c r="AU72" i="1"/>
  <c r="AZ23" i="20"/>
  <c r="BF16" i="20"/>
  <c r="BF13" i="20"/>
  <c r="BF23" i="20"/>
  <c r="BF21" i="20"/>
  <c r="BF22" i="20"/>
  <c r="BF14" i="20"/>
  <c r="AT22" i="1"/>
  <c r="AT42" i="1"/>
  <c r="AT62" i="1"/>
  <c r="AT23" i="1"/>
  <c r="AT43" i="1"/>
  <c r="AT63" i="1"/>
  <c r="AT24" i="1"/>
  <c r="AT44" i="1"/>
  <c r="AT25" i="1"/>
  <c r="AT65" i="1"/>
  <c r="AT26" i="1"/>
  <c r="AT46" i="1"/>
  <c r="AT47" i="1"/>
  <c r="AT28" i="1"/>
  <c r="AT48" i="1"/>
  <c r="AT29" i="1"/>
  <c r="AT49" i="1"/>
  <c r="AT61" i="1"/>
  <c r="AS61" i="1" s="1"/>
  <c r="AT41" i="1"/>
  <c r="AS41" i="1" s="1"/>
  <c r="AT21" i="1"/>
  <c r="AS21" i="1" s="1"/>
  <c r="A40" i="3"/>
  <c r="D40" i="3" s="1"/>
  <c r="BW12" i="1"/>
  <c r="BW11" i="1"/>
  <c r="BV12" i="1"/>
  <c r="BV11" i="1"/>
  <c r="BU12" i="1"/>
  <c r="BU11" i="1"/>
  <c r="BT12" i="1"/>
  <c r="BT11" i="1"/>
  <c r="BS12" i="1"/>
  <c r="BS11" i="1"/>
  <c r="I15" i="17"/>
  <c r="H15" i="17"/>
  <c r="G15" i="17"/>
  <c r="F15" i="17"/>
  <c r="E15" i="17"/>
  <c r="D15" i="17"/>
  <c r="I14" i="17"/>
  <c r="H14" i="17"/>
  <c r="G14" i="17"/>
  <c r="F14" i="17"/>
  <c r="E14" i="17"/>
  <c r="D14" i="17"/>
  <c r="I13" i="17"/>
  <c r="H13" i="17"/>
  <c r="G13" i="17"/>
  <c r="F13" i="17"/>
  <c r="E13" i="17"/>
  <c r="D13" i="17"/>
  <c r="I12" i="17"/>
  <c r="H12" i="17"/>
  <c r="G12" i="17"/>
  <c r="F12" i="17"/>
  <c r="E12" i="17"/>
  <c r="D12" i="17"/>
  <c r="I11" i="17"/>
  <c r="H11" i="17"/>
  <c r="G11" i="17"/>
  <c r="F11" i="17"/>
  <c r="E11" i="17"/>
  <c r="D11" i="17"/>
  <c r="I10" i="17"/>
  <c r="H10" i="17"/>
  <c r="G10" i="17"/>
  <c r="F10" i="17"/>
  <c r="E10" i="17"/>
  <c r="D10" i="17"/>
  <c r="AF49" i="7"/>
  <c r="I8" i="3" s="1"/>
  <c r="AI44" i="7"/>
  <c r="AF43" i="7"/>
  <c r="I2" i="3"/>
  <c r="AG43" i="7"/>
  <c r="J2" i="3" s="1"/>
  <c r="AH43" i="7"/>
  <c r="K2" i="3" s="1"/>
  <c r="AI43" i="7"/>
  <c r="L2" i="3" s="1"/>
  <c r="AJ43" i="7"/>
  <c r="M2" i="3" s="1"/>
  <c r="AE43" i="7"/>
  <c r="H2" i="3" s="1"/>
  <c r="AE46" i="7"/>
  <c r="H5" i="3" s="1"/>
  <c r="AE47" i="7"/>
  <c r="H6" i="3" s="1"/>
  <c r="AE48" i="7"/>
  <c r="H7" i="3"/>
  <c r="AE49" i="7"/>
  <c r="H8" i="3" s="1"/>
  <c r="AE45" i="7"/>
  <c r="H4" i="3" s="1"/>
  <c r="D34" i="7"/>
  <c r="G34" i="7"/>
  <c r="AJ44" i="7" s="1"/>
  <c r="M3" i="3" s="1"/>
  <c r="AR72" i="1"/>
  <c r="AR71" i="1"/>
  <c r="AR70" i="1"/>
  <c r="AR69" i="1"/>
  <c r="AR68" i="1"/>
  <c r="AR67" i="1"/>
  <c r="AR66" i="1"/>
  <c r="AR65" i="1"/>
  <c r="AR63" i="1"/>
  <c r="AR62" i="1"/>
  <c r="AQ72" i="1"/>
  <c r="AQ71" i="1"/>
  <c r="AQ70" i="1"/>
  <c r="AQ69" i="1"/>
  <c r="AQ68" i="1"/>
  <c r="AQ67" i="1"/>
  <c r="AQ66" i="1"/>
  <c r="AQ65" i="1"/>
  <c r="AQ63" i="1"/>
  <c r="AQ62" i="1"/>
  <c r="AQ61" i="1"/>
  <c r="AQ22" i="1"/>
  <c r="C12" i="1"/>
  <c r="AR22" i="1"/>
  <c r="AR23" i="1"/>
  <c r="AR24" i="1"/>
  <c r="AR25" i="1"/>
  <c r="AR26" i="1"/>
  <c r="AR28" i="1"/>
  <c r="AR29" i="1"/>
  <c r="AR30" i="1"/>
  <c r="AR31" i="1"/>
  <c r="AR32" i="1"/>
  <c r="AQ32" i="1"/>
  <c r="AQ31" i="1"/>
  <c r="AQ30" i="1"/>
  <c r="AQ29" i="1"/>
  <c r="AQ28" i="1"/>
  <c r="AQ26" i="1"/>
  <c r="AQ25" i="1"/>
  <c r="AQ24" i="1"/>
  <c r="AQ23" i="1"/>
  <c r="J64" i="10"/>
  <c r="J142" i="10"/>
  <c r="J62" i="10"/>
  <c r="J78" i="10"/>
  <c r="J65" i="10"/>
  <c r="J122" i="10"/>
  <c r="J108" i="10"/>
  <c r="J7" i="10"/>
  <c r="J104" i="10"/>
  <c r="J133" i="10"/>
  <c r="J135" i="10"/>
  <c r="J144" i="10"/>
  <c r="J123" i="10"/>
  <c r="J68" i="10"/>
  <c r="J125" i="10"/>
  <c r="J129" i="10"/>
  <c r="J127" i="10"/>
  <c r="J43" i="10"/>
  <c r="J22" i="10"/>
  <c r="J59" i="10"/>
  <c r="J35" i="10"/>
  <c r="J40" i="10"/>
  <c r="J41" i="10"/>
  <c r="J117" i="10"/>
  <c r="J118" i="10"/>
  <c r="J52" i="10"/>
  <c r="J70" i="10"/>
  <c r="J33" i="10"/>
  <c r="J9" i="10"/>
  <c r="J128" i="10"/>
  <c r="J113" i="10"/>
  <c r="J63" i="10"/>
  <c r="J109" i="10"/>
  <c r="J10" i="10"/>
  <c r="J42" i="10"/>
  <c r="J11" i="10"/>
  <c r="J114" i="10"/>
  <c r="J12" i="10"/>
  <c r="J91" i="10"/>
  <c r="J19" i="10"/>
  <c r="J115" i="10"/>
  <c r="J138" i="10"/>
  <c r="J34" i="10"/>
  <c r="J66" i="10"/>
  <c r="J49" i="10"/>
  <c r="J76" i="10"/>
  <c r="J13" i="10"/>
  <c r="J57" i="10"/>
  <c r="J39" i="10"/>
  <c r="J145" i="10"/>
  <c r="J67" i="10"/>
  <c r="J14" i="10"/>
  <c r="J116" i="10"/>
  <c r="J137" i="10"/>
  <c r="J15" i="10"/>
  <c r="J16" i="10"/>
  <c r="J53" i="10"/>
  <c r="J69" i="10"/>
  <c r="J77" i="10"/>
  <c r="J17" i="10"/>
  <c r="J80" i="10"/>
  <c r="J81" i="10"/>
  <c r="J18" i="10"/>
  <c r="J58" i="10"/>
  <c r="J38" i="10"/>
  <c r="J45" i="10"/>
  <c r="J130" i="10"/>
  <c r="J131" i="10"/>
  <c r="J103" i="10"/>
  <c r="J28" i="10"/>
  <c r="J126" i="10"/>
  <c r="J132" i="10"/>
  <c r="J46" i="10"/>
  <c r="J79" i="10"/>
  <c r="J56" i="10"/>
  <c r="J27" i="10"/>
  <c r="J60" i="10"/>
  <c r="J26" i="10"/>
  <c r="J47" i="10"/>
  <c r="J74" i="10"/>
  <c r="J136" i="10"/>
  <c r="J36" i="10"/>
  <c r="J90" i="10"/>
  <c r="J20" i="10"/>
  <c r="J29" i="10"/>
  <c r="J23" i="10"/>
  <c r="J112" i="10"/>
  <c r="J71" i="10"/>
  <c r="J106" i="10"/>
  <c r="J107" i="10"/>
  <c r="J102" i="10"/>
  <c r="J25" i="10"/>
  <c r="J82" i="10"/>
  <c r="J86" i="10"/>
  <c r="J54" i="10"/>
  <c r="J85" i="10"/>
  <c r="J51" i="10"/>
  <c r="J55" i="10"/>
  <c r="J87" i="10"/>
  <c r="J73" i="10"/>
  <c r="J119" i="10"/>
  <c r="J139" i="10"/>
  <c r="J93" i="10"/>
  <c r="J95" i="10"/>
  <c r="J83" i="10"/>
  <c r="J48" i="10"/>
  <c r="J50" i="10"/>
  <c r="J101" i="10"/>
  <c r="J94" i="10"/>
  <c r="J105" i="10"/>
  <c r="J124" i="10"/>
  <c r="J146" i="10"/>
  <c r="J111" i="10"/>
  <c r="J140" i="10"/>
  <c r="J141" i="10"/>
  <c r="J21" i="10"/>
  <c r="J61" i="10"/>
  <c r="J100" i="10"/>
  <c r="J72" i="10"/>
  <c r="J24" i="10"/>
  <c r="J96" i="10"/>
  <c r="J75" i="10"/>
  <c r="J99" i="10"/>
  <c r="J32" i="10"/>
  <c r="J134" i="10"/>
  <c r="J37" i="10"/>
  <c r="J97" i="10"/>
  <c r="J44" i="10"/>
  <c r="J120" i="10"/>
  <c r="J84" i="10"/>
  <c r="J98" i="10"/>
  <c r="J110" i="10"/>
  <c r="J92" i="10"/>
  <c r="J8" i="10"/>
  <c r="J121" i="10"/>
  <c r="J143" i="10"/>
  <c r="I33" i="6"/>
  <c r="I34" i="6"/>
  <c r="I35" i="6"/>
  <c r="I36" i="6"/>
  <c r="I37" i="6"/>
  <c r="I38" i="6"/>
  <c r="I39" i="6"/>
  <c r="I40" i="6"/>
  <c r="I41" i="6"/>
  <c r="I42" i="6"/>
  <c r="I43" i="6"/>
  <c r="I44" i="6"/>
  <c r="I45" i="6"/>
  <c r="I46" i="6"/>
  <c r="I47" i="6"/>
  <c r="I48" i="6"/>
  <c r="I49" i="6"/>
  <c r="I50" i="6"/>
  <c r="I51" i="6"/>
  <c r="I52" i="6"/>
  <c r="I53" i="6"/>
  <c r="I55" i="6"/>
  <c r="I56" i="6"/>
  <c r="I57" i="6"/>
  <c r="I58" i="6"/>
  <c r="I59" i="6"/>
  <c r="I61" i="6"/>
  <c r="I62" i="6"/>
  <c r="I63" i="6"/>
  <c r="I64" i="6"/>
  <c r="I65" i="6"/>
  <c r="J13" i="17"/>
  <c r="I66" i="6"/>
  <c r="I67" i="6"/>
  <c r="I68" i="6"/>
  <c r="I69" i="6"/>
  <c r="I70" i="6"/>
  <c r="I71" i="6"/>
  <c r="I72" i="6"/>
  <c r="I73" i="6"/>
  <c r="I74" i="6"/>
  <c r="I75" i="6"/>
  <c r="I76" i="6"/>
  <c r="I77" i="6"/>
  <c r="I78" i="6"/>
  <c r="I79" i="6"/>
  <c r="I80" i="6"/>
  <c r="I81"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J14" i="17"/>
  <c r="I113" i="6"/>
  <c r="I114" i="6"/>
  <c r="I115" i="6"/>
  <c r="I116" i="6"/>
  <c r="I117" i="6"/>
  <c r="I118" i="6"/>
  <c r="I119" i="6"/>
  <c r="I120" i="6"/>
  <c r="I121" i="6"/>
  <c r="I122" i="6"/>
  <c r="I123" i="6"/>
  <c r="I124" i="6"/>
  <c r="I125" i="6"/>
  <c r="I126" i="6"/>
  <c r="I127" i="6"/>
  <c r="I128" i="6"/>
  <c r="I129" i="6"/>
  <c r="I130" i="6"/>
  <c r="I131" i="6"/>
  <c r="I133" i="6"/>
  <c r="I134" i="6"/>
  <c r="I135" i="6"/>
  <c r="I136" i="6"/>
  <c r="I137" i="6"/>
  <c r="I138" i="6"/>
  <c r="I139" i="6"/>
  <c r="I140" i="6"/>
  <c r="I141" i="6"/>
  <c r="I142" i="6"/>
  <c r="J15" i="17"/>
  <c r="I143" i="6"/>
  <c r="I144" i="6"/>
  <c r="I145" i="6"/>
  <c r="I146" i="6"/>
  <c r="I147" i="6"/>
  <c r="I148" i="6"/>
  <c r="I149" i="6"/>
  <c r="I150" i="6"/>
  <c r="I151" i="6"/>
  <c r="I152" i="6"/>
  <c r="I31" i="6"/>
  <c r="I32" i="6"/>
  <c r="J11" i="17"/>
  <c r="I9" i="6"/>
  <c r="I10" i="6"/>
  <c r="I11" i="6"/>
  <c r="I12" i="6"/>
  <c r="I13" i="6"/>
  <c r="I14" i="6"/>
  <c r="I15" i="6"/>
  <c r="I16" i="6"/>
  <c r="I17" i="6"/>
  <c r="I18" i="6"/>
  <c r="I19" i="6"/>
  <c r="I20" i="6"/>
  <c r="I21" i="6"/>
  <c r="I22" i="6"/>
  <c r="I27" i="6"/>
  <c r="I28" i="6"/>
  <c r="I29" i="6"/>
  <c r="I8" i="6"/>
  <c r="J12" i="17"/>
  <c r="L9" i="10"/>
  <c r="L128" i="10"/>
  <c r="L113" i="10"/>
  <c r="L63" i="10"/>
  <c r="L109" i="10"/>
  <c r="L10" i="10"/>
  <c r="L42" i="10"/>
  <c r="L11" i="10"/>
  <c r="L114" i="10"/>
  <c r="L12" i="10"/>
  <c r="L91" i="10"/>
  <c r="L19" i="10"/>
  <c r="L115" i="10"/>
  <c r="L138" i="10"/>
  <c r="L34" i="10"/>
  <c r="L66" i="10"/>
  <c r="L49" i="10"/>
  <c r="L76" i="10"/>
  <c r="L13" i="10"/>
  <c r="L57" i="10"/>
  <c r="L39" i="10"/>
  <c r="L145" i="10"/>
  <c r="L67" i="10"/>
  <c r="L14" i="10"/>
  <c r="L116" i="10"/>
  <c r="L137" i="10"/>
  <c r="L15" i="10"/>
  <c r="L16" i="10"/>
  <c r="L53" i="10"/>
  <c r="L69" i="10"/>
  <c r="L77" i="10"/>
  <c r="L17" i="10"/>
  <c r="L80" i="10"/>
  <c r="L81" i="10"/>
  <c r="L18" i="10"/>
  <c r="L58" i="10"/>
  <c r="L38" i="10"/>
  <c r="L45" i="10"/>
  <c r="L130" i="10"/>
  <c r="L131" i="10"/>
  <c r="L103" i="10"/>
  <c r="L28" i="10"/>
  <c r="L126" i="10"/>
  <c r="L132" i="10"/>
  <c r="L46" i="10"/>
  <c r="L79" i="10"/>
  <c r="L56" i="10"/>
  <c r="L27" i="10"/>
  <c r="L60" i="10"/>
  <c r="L26" i="10"/>
  <c r="L47" i="10"/>
  <c r="L74" i="10"/>
  <c r="L136" i="10"/>
  <c r="L36" i="10"/>
  <c r="L90" i="10"/>
  <c r="L20" i="10"/>
  <c r="L29" i="10"/>
  <c r="L23" i="10"/>
  <c r="L112" i="10"/>
  <c r="L71" i="10"/>
  <c r="L106" i="10"/>
  <c r="L107" i="10"/>
  <c r="L102" i="10"/>
  <c r="L25" i="10"/>
  <c r="L82" i="10"/>
  <c r="L86" i="10"/>
  <c r="L54" i="10"/>
  <c r="L85" i="10"/>
  <c r="L51" i="10"/>
  <c r="L55" i="10"/>
  <c r="L87" i="10"/>
  <c r="L73" i="10"/>
  <c r="L119" i="10"/>
  <c r="L139" i="10"/>
  <c r="L93" i="10"/>
  <c r="L95" i="10"/>
  <c r="L83" i="10"/>
  <c r="L48" i="10"/>
  <c r="L50" i="10"/>
  <c r="L101" i="10"/>
  <c r="L94" i="10"/>
  <c r="L105" i="10"/>
  <c r="L124" i="10"/>
  <c r="L146" i="10"/>
  <c r="L111" i="10"/>
  <c r="L140" i="10"/>
  <c r="L141" i="10"/>
  <c r="L21" i="10"/>
  <c r="L61" i="10"/>
  <c r="L100" i="10"/>
  <c r="L72" i="10"/>
  <c r="L24" i="10"/>
  <c r="L96" i="10"/>
  <c r="L75" i="10"/>
  <c r="L99" i="10"/>
  <c r="L32" i="10"/>
  <c r="L134" i="10"/>
  <c r="L37" i="10"/>
  <c r="L97" i="10"/>
  <c r="L44" i="10"/>
  <c r="L120" i="10"/>
  <c r="L84" i="10"/>
  <c r="L98" i="10"/>
  <c r="L110" i="10"/>
  <c r="L92" i="10"/>
  <c r="L8" i="10"/>
  <c r="L121" i="10"/>
  <c r="L123" i="10"/>
  <c r="L68" i="10"/>
  <c r="L125" i="10"/>
  <c r="L129" i="10"/>
  <c r="L127" i="10"/>
  <c r="L43" i="10"/>
  <c r="L22" i="10"/>
  <c r="L59" i="10"/>
  <c r="L35" i="10"/>
  <c r="L40" i="10"/>
  <c r="L41" i="10"/>
  <c r="L117" i="10"/>
  <c r="L118" i="10"/>
  <c r="L52" i="10"/>
  <c r="L70" i="10"/>
  <c r="L33" i="10"/>
  <c r="L64" i="10"/>
  <c r="L142" i="10"/>
  <c r="L62" i="10"/>
  <c r="L78" i="10"/>
  <c r="L65" i="10"/>
  <c r="L122" i="10"/>
  <c r="L108" i="10"/>
  <c r="L7" i="10"/>
  <c r="L104" i="10"/>
  <c r="L133" i="10"/>
  <c r="L135" i="10"/>
  <c r="L144" i="10"/>
  <c r="L143" i="10"/>
  <c r="A32" i="3"/>
  <c r="D32" i="3" s="1"/>
  <c r="A33" i="3"/>
  <c r="D33" i="3" s="1"/>
  <c r="A34" i="3"/>
  <c r="B34" i="3" s="1"/>
  <c r="E34" i="3" s="1"/>
  <c r="A35" i="3"/>
  <c r="D35" i="3" s="1"/>
  <c r="A36" i="3"/>
  <c r="D36" i="3" s="1"/>
  <c r="A37" i="3"/>
  <c r="A39" i="3"/>
  <c r="B39" i="3" s="1"/>
  <c r="E39" i="3" s="1"/>
  <c r="D33" i="2"/>
  <c r="E33" i="2"/>
  <c r="F33" i="2" s="1"/>
  <c r="I33" i="2"/>
  <c r="D34" i="2"/>
  <c r="E34" i="2"/>
  <c r="F34" i="2" s="1"/>
  <c r="I34" i="2"/>
  <c r="D35" i="2"/>
  <c r="E35" i="2"/>
  <c r="F35" i="2" s="1"/>
  <c r="I35" i="2"/>
  <c r="D36" i="2"/>
  <c r="E36" i="2"/>
  <c r="F36" i="2" s="1"/>
  <c r="I36" i="2"/>
  <c r="D37" i="2"/>
  <c r="E37" i="2"/>
  <c r="F37" i="2" s="1"/>
  <c r="I37" i="2"/>
  <c r="D38" i="2"/>
  <c r="E38" i="2"/>
  <c r="F38" i="2" s="1"/>
  <c r="I38" i="2"/>
  <c r="D39" i="2"/>
  <c r="E39" i="2"/>
  <c r="F39" i="2" s="1"/>
  <c r="I39" i="2"/>
  <c r="D40" i="2"/>
  <c r="E40" i="2"/>
  <c r="F40" i="2" s="1"/>
  <c r="I40" i="2"/>
  <c r="D41" i="2"/>
  <c r="I41" i="2"/>
  <c r="D42" i="2"/>
  <c r="I42" i="2"/>
  <c r="D43" i="2"/>
  <c r="I43" i="2"/>
  <c r="D44" i="2"/>
  <c r="E44" i="2"/>
  <c r="F44" i="2" s="1"/>
  <c r="G44" i="2"/>
  <c r="H44" i="2"/>
  <c r="I44" i="2"/>
  <c r="D45" i="2"/>
  <c r="E45" i="2"/>
  <c r="F45" i="2" s="1"/>
  <c r="G45" i="2"/>
  <c r="H45" i="2"/>
  <c r="I45" i="2"/>
  <c r="I32" i="2"/>
  <c r="D32" i="2"/>
  <c r="E32" i="2"/>
  <c r="F32" i="2" s="1"/>
  <c r="I12" i="20"/>
  <c r="AX15" i="20"/>
  <c r="CI42" i="20"/>
  <c r="K42" i="20" s="1"/>
  <c r="AV66" i="1"/>
  <c r="BC17" i="20" s="1"/>
  <c r="CL73" i="20"/>
  <c r="K73" i="20" s="1"/>
  <c r="AY16" i="20"/>
  <c r="AY15" i="20"/>
  <c r="CH77" i="20"/>
  <c r="G77" i="20" s="1"/>
  <c r="AX18" i="20"/>
  <c r="M51" i="20"/>
  <c r="BA19" i="20"/>
  <c r="L28" i="1"/>
  <c r="M28" i="1"/>
  <c r="N28" i="1" s="1"/>
  <c r="BC12" i="20"/>
  <c r="CJ51" i="20"/>
  <c r="I51" i="20" s="1"/>
  <c r="AY12" i="20"/>
  <c r="AZ12" i="20"/>
  <c r="AJ21" i="18"/>
  <c r="AJ29" i="18"/>
  <c r="AX17" i="20"/>
  <c r="O21" i="18"/>
  <c r="AJ31" i="18" s="1"/>
  <c r="AJ49" i="18" s="1"/>
  <c r="AJ40" i="18" s="1"/>
  <c r="BJ3" i="1"/>
  <c r="AJ20" i="18"/>
  <c r="AS6" i="1"/>
  <c r="AJ18" i="18"/>
  <c r="BJ5" i="1"/>
  <c r="C21" i="18"/>
  <c r="AH31" i="18" s="1"/>
  <c r="AH40" i="18" s="1"/>
  <c r="C34" i="18" s="1"/>
  <c r="BG7" i="1"/>
  <c r="BE23" i="20"/>
  <c r="F37" i="18"/>
  <c r="W53" i="20"/>
  <c r="BF20" i="20"/>
  <c r="M29" i="1"/>
  <c r="N29" i="1" s="1"/>
  <c r="AJ22" i="18"/>
  <c r="AK19" i="18"/>
  <c r="AL19" i="18"/>
  <c r="AN19" i="18"/>
  <c r="O24" i="18"/>
  <c r="AJ34" i="18" s="1"/>
  <c r="R23" i="18"/>
  <c r="AF30" i="7"/>
  <c r="D39" i="7" s="1"/>
  <c r="E25" i="18" s="1"/>
  <c r="AI35" i="18" s="1"/>
  <c r="AG30" i="7"/>
  <c r="BW8" i="1" s="1"/>
  <c r="AK20" i="18"/>
  <c r="AK18" i="18"/>
  <c r="AG29" i="7"/>
  <c r="AX6" i="1" s="1"/>
  <c r="AF29" i="7"/>
  <c r="AL38" i="7" s="1"/>
  <c r="AG26" i="7"/>
  <c r="BS13" i="1" s="1"/>
  <c r="AF26" i="7"/>
  <c r="D35" i="7" s="1"/>
  <c r="E21" i="18" s="1"/>
  <c r="AI31" i="18" s="1"/>
  <c r="AG27" i="7"/>
  <c r="AH46" i="7" s="1"/>
  <c r="K5" i="3" s="1"/>
  <c r="AK21" i="18"/>
  <c r="AL21" i="18"/>
  <c r="AK22" i="18"/>
  <c r="AP11" i="1"/>
  <c r="DH251" i="1" s="1"/>
  <c r="AX21" i="20"/>
  <c r="AV32" i="1"/>
  <c r="BA23" i="20"/>
  <c r="BI7" i="1"/>
  <c r="BJ7" i="1"/>
  <c r="BE7" i="1"/>
  <c r="BH3" i="1"/>
  <c r="BF19" i="20"/>
  <c r="C25" i="18"/>
  <c r="AH35" i="18" s="1"/>
  <c r="AS7" i="1"/>
  <c r="CJ55" i="20"/>
  <c r="I55" i="20" s="1"/>
  <c r="W55" i="20"/>
  <c r="BE22" i="20"/>
  <c r="BH7" i="1"/>
  <c r="BD23" i="20"/>
  <c r="BF17" i="20"/>
  <c r="AG28" i="18"/>
  <c r="B36" i="18"/>
  <c r="AQ24" i="18"/>
  <c r="AR24" i="18" s="1"/>
  <c r="AS24" i="18" s="1"/>
  <c r="Q23" i="18"/>
  <c r="AL33" i="18" s="1"/>
  <c r="AL47" i="18" s="1"/>
  <c r="AL38" i="18" s="1"/>
  <c r="CH37" i="20"/>
  <c r="I37" i="20" s="1"/>
  <c r="AZ13" i="20"/>
  <c r="AV47" i="1"/>
  <c r="BB18" i="20" s="1"/>
  <c r="AY18" i="20"/>
  <c r="E76" i="20"/>
  <c r="S76" i="20"/>
  <c r="BA18" i="20"/>
  <c r="AV31" i="1"/>
  <c r="BA22" i="20" s="1"/>
  <c r="AX22" i="20"/>
  <c r="BA20" i="20"/>
  <c r="AN33" i="1"/>
  <c r="E34" i="7"/>
  <c r="AH44" i="7"/>
  <c r="K3" i="3" s="1"/>
  <c r="AG44" i="7"/>
  <c r="J3" i="3" s="1"/>
  <c r="AS64" i="1"/>
  <c r="AS62" i="1"/>
  <c r="T22" i="18"/>
  <c r="AJ19" i="7"/>
  <c r="AL19" i="7" s="1"/>
  <c r="AM19" i="7" s="1"/>
  <c r="AO29" i="7" s="1"/>
  <c r="AH29" i="7" s="1"/>
  <c r="R21" i="18"/>
  <c r="AH50" i="18"/>
  <c r="AH45" i="18"/>
  <c r="AH37" i="18"/>
  <c r="G28" i="18"/>
  <c r="BE4" i="1"/>
  <c r="L66" i="1"/>
  <c r="M66" i="1" s="1"/>
  <c r="N66" i="1" s="1"/>
  <c r="AL18" i="18"/>
  <c r="AM18" i="18"/>
  <c r="AL22" i="18"/>
  <c r="AM22" i="18"/>
  <c r="AL20" i="18"/>
  <c r="AN20" i="18"/>
  <c r="AM19" i="18"/>
  <c r="BV13" i="1"/>
  <c r="AN18" i="18"/>
  <c r="AM21" i="18"/>
  <c r="AK29" i="18"/>
  <c r="AN21" i="18"/>
  <c r="AL29" i="18"/>
  <c r="AG56" i="18"/>
  <c r="AH56" i="18"/>
  <c r="AN22" i="18"/>
  <c r="AM20" i="18"/>
  <c r="D42" i="18"/>
  <c r="C42" i="18"/>
  <c r="AH58" i="18"/>
  <c r="B42" i="18"/>
  <c r="AM29" i="18"/>
  <c r="E42" i="18"/>
  <c r="I23" i="18"/>
  <c r="I24" i="18"/>
  <c r="I25" i="18"/>
  <c r="I21" i="18"/>
  <c r="I22" i="18"/>
  <c r="L67" i="1" l="1"/>
  <c r="M67" i="1" s="1"/>
  <c r="N67" i="1" s="1"/>
  <c r="AS71" i="1"/>
  <c r="AV67" i="1"/>
  <c r="BC18" i="20" s="1"/>
  <c r="AV70" i="1"/>
  <c r="BC21" i="20" s="1"/>
  <c r="AV69" i="1"/>
  <c r="BC20" i="20" s="1"/>
  <c r="AV68" i="1"/>
  <c r="BC19" i="20" s="1"/>
  <c r="L70" i="1"/>
  <c r="M70" i="1" s="1"/>
  <c r="N70" i="1" s="1"/>
  <c r="W74" i="20"/>
  <c r="L69" i="1"/>
  <c r="M69" i="1" s="1"/>
  <c r="N69" i="1" s="1"/>
  <c r="BF18" i="20"/>
  <c r="L47" i="1"/>
  <c r="M47" i="1" s="1"/>
  <c r="N47" i="1" s="1"/>
  <c r="BE20" i="20"/>
  <c r="AV50" i="1"/>
  <c r="BB21" i="20" s="1"/>
  <c r="AV48" i="1"/>
  <c r="BB19" i="20" s="1"/>
  <c r="BE19" i="20"/>
  <c r="AV51" i="1"/>
  <c r="BB22" i="20" s="1"/>
  <c r="E39" i="7"/>
  <c r="F25" i="18" s="1"/>
  <c r="AX7" i="1"/>
  <c r="AL39" i="7"/>
  <c r="L39" i="7" s="1"/>
  <c r="AS3" i="1"/>
  <c r="AG49" i="7"/>
  <c r="J8" i="3" s="1"/>
  <c r="BW7" i="1"/>
  <c r="AH45" i="7"/>
  <c r="K4" i="3" s="1"/>
  <c r="AW7" i="1"/>
  <c r="AH49" i="7"/>
  <c r="K8" i="3" s="1"/>
  <c r="CI34" i="20"/>
  <c r="K34" i="20" s="1"/>
  <c r="S30" i="1"/>
  <c r="AO53" i="1"/>
  <c r="S51" i="1" s="1"/>
  <c r="AP73" i="1"/>
  <c r="S72" i="1" s="1"/>
  <c r="AS70" i="1"/>
  <c r="AS68" i="1"/>
  <c r="AS72" i="1"/>
  <c r="AN73" i="1"/>
  <c r="V70" i="1" s="1"/>
  <c r="DE253" i="1" s="1"/>
  <c r="DJ253" i="1" s="1"/>
  <c r="FN260" i="1" s="1"/>
  <c r="FN261" i="1" s="1"/>
  <c r="AO73" i="1"/>
  <c r="AN11" i="1"/>
  <c r="DH12" i="1" s="1"/>
  <c r="DN14" i="1" s="1"/>
  <c r="AV46" i="1"/>
  <c r="BB17" i="20" s="1"/>
  <c r="M37" i="20"/>
  <c r="M39" i="20"/>
  <c r="AC39" i="20" s="1"/>
  <c r="M53" i="20"/>
  <c r="AC53" i="20" s="1"/>
  <c r="CJ69" i="20"/>
  <c r="I69" i="20" s="1"/>
  <c r="Q59" i="20"/>
  <c r="M69" i="20"/>
  <c r="BV69" i="20" s="1"/>
  <c r="BW69" i="20" s="1"/>
  <c r="W79" i="20"/>
  <c r="W39" i="20"/>
  <c r="AV23" i="1"/>
  <c r="BA14" i="20" s="1"/>
  <c r="AX16" i="20"/>
  <c r="R52" i="1"/>
  <c r="V50" i="1"/>
  <c r="DE133" i="1" s="1"/>
  <c r="DJ133" i="1" s="1"/>
  <c r="FN140" i="1" s="1"/>
  <c r="E43" i="2"/>
  <c r="E42" i="2"/>
  <c r="L27" i="1"/>
  <c r="M27" i="1" s="1"/>
  <c r="N27" i="1" s="1"/>
  <c r="V30" i="1"/>
  <c r="EI21" i="1" s="1"/>
  <c r="EI22" i="1" s="1"/>
  <c r="EI23" i="1" s="1"/>
  <c r="L24" i="1"/>
  <c r="M24" i="1" s="1"/>
  <c r="N24" i="1" s="1"/>
  <c r="AS30" i="1"/>
  <c r="CG38" i="20"/>
  <c r="G38" i="20" s="1"/>
  <c r="O42" i="20"/>
  <c r="S42" i="20"/>
  <c r="Q40" i="20"/>
  <c r="V32" i="1"/>
  <c r="S32" i="1"/>
  <c r="U73" i="1"/>
  <c r="U33" i="1"/>
  <c r="U53" i="1"/>
  <c r="BC15" i="20"/>
  <c r="L64" i="1"/>
  <c r="M64" i="1" s="1"/>
  <c r="N64" i="1" s="1"/>
  <c r="R71" i="1"/>
  <c r="S71" i="1"/>
  <c r="R31" i="1"/>
  <c r="S31" i="1"/>
  <c r="V31" i="1"/>
  <c r="AY14" i="20"/>
  <c r="AA59" i="20"/>
  <c r="BB59" i="20" s="1"/>
  <c r="U40" i="20"/>
  <c r="BQ37" i="20"/>
  <c r="AZ14" i="20"/>
  <c r="AY13" i="20"/>
  <c r="L23" i="1"/>
  <c r="M23" i="1" s="1"/>
  <c r="N23" i="1" s="1"/>
  <c r="L61" i="1"/>
  <c r="M61" i="1" s="1"/>
  <c r="N61" i="1" s="1"/>
  <c r="R30" i="1"/>
  <c r="A29" i="3" s="1"/>
  <c r="D29" i="3" s="1"/>
  <c r="AE59" i="20"/>
  <c r="W44" i="20"/>
  <c r="AV22" i="1"/>
  <c r="BD22" i="20"/>
  <c r="L46" i="1"/>
  <c r="M46" i="1" s="1"/>
  <c r="N46" i="1" s="1"/>
  <c r="S52" i="1"/>
  <c r="AS24" i="1"/>
  <c r="AS69" i="1"/>
  <c r="AX59" i="20"/>
  <c r="AF9" i="1"/>
  <c r="AZ15" i="20"/>
  <c r="AS63" i="1"/>
  <c r="AS23" i="1"/>
  <c r="Q38" i="20"/>
  <c r="AS66" i="1"/>
  <c r="O71" i="20"/>
  <c r="AX12" i="20"/>
  <c r="Q62" i="20"/>
  <c r="AS22" i="1"/>
  <c r="AZ16" i="20"/>
  <c r="AS67" i="1"/>
  <c r="AS65" i="1"/>
  <c r="CH73" i="20"/>
  <c r="G73" i="20" s="1"/>
  <c r="CE59" i="20"/>
  <c r="L25" i="1"/>
  <c r="M25" i="1" s="1"/>
  <c r="N25" i="1" s="1"/>
  <c r="AI61" i="20"/>
  <c r="U73" i="20"/>
  <c r="M44" i="20"/>
  <c r="AC44" i="20" s="1"/>
  <c r="CI36" i="20"/>
  <c r="K36" i="20" s="1"/>
  <c r="S69" i="20"/>
  <c r="AM61" i="20"/>
  <c r="AE61" i="20"/>
  <c r="Q42" i="20"/>
  <c r="AX61" i="20"/>
  <c r="CI40" i="20"/>
  <c r="K40" i="20" s="1"/>
  <c r="CE61" i="20"/>
  <c r="Y38" i="20"/>
  <c r="BA61" i="20"/>
  <c r="CG42" i="20"/>
  <c r="G42" i="20" s="1"/>
  <c r="AO60" i="20"/>
  <c r="AA61" i="20"/>
  <c r="Q56" i="20"/>
  <c r="Y56" i="20"/>
  <c r="R50" i="1"/>
  <c r="A30" i="3" s="1"/>
  <c r="D30" i="3" s="1"/>
  <c r="AS49" i="1"/>
  <c r="AS48" i="1"/>
  <c r="V52" i="1"/>
  <c r="AO11" i="1"/>
  <c r="DH131" i="1" s="1"/>
  <c r="U56" i="20"/>
  <c r="CH54" i="20"/>
  <c r="G54" i="20" s="1"/>
  <c r="Q54" i="20"/>
  <c r="AS44" i="1"/>
  <c r="AS43" i="1"/>
  <c r="AS45" i="1"/>
  <c r="AS46" i="1"/>
  <c r="AS52" i="1"/>
  <c r="AS47" i="1"/>
  <c r="L45" i="1"/>
  <c r="M45" i="1" s="1"/>
  <c r="N45" i="1" s="1"/>
  <c r="L44" i="1"/>
  <c r="M44" i="1" s="1"/>
  <c r="N44" i="1" s="1"/>
  <c r="L43" i="1"/>
  <c r="M43" i="1" s="1"/>
  <c r="N43" i="1" s="1"/>
  <c r="L41" i="1"/>
  <c r="M41" i="1" s="1"/>
  <c r="N41" i="1" s="1"/>
  <c r="AB9" i="1"/>
  <c r="AS29" i="1"/>
  <c r="AS32" i="1"/>
  <c r="AS26" i="1"/>
  <c r="AS27" i="1"/>
  <c r="AS28" i="1"/>
  <c r="BA56" i="20"/>
  <c r="AJ39" i="20"/>
  <c r="AX56" i="20"/>
  <c r="AM80" i="20"/>
  <c r="AI80" i="20"/>
  <c r="AG46" i="7"/>
  <c r="J5" i="3" s="1"/>
  <c r="AW4" i="1"/>
  <c r="D36" i="7"/>
  <c r="E22" i="18" s="1"/>
  <c r="AI32" i="18" s="1"/>
  <c r="AI48" i="18" s="1"/>
  <c r="AI39" i="18" s="1"/>
  <c r="AL36" i="7"/>
  <c r="AO27" i="7"/>
  <c r="AH27" i="7" s="1"/>
  <c r="AI46" i="7" s="1"/>
  <c r="L5" i="3" s="1"/>
  <c r="AN17" i="7"/>
  <c r="AQ17" i="7" s="1"/>
  <c r="AR17" i="7" s="1"/>
  <c r="F25" i="7" s="1"/>
  <c r="AI27" i="7" s="1"/>
  <c r="AJ46" i="7" s="1"/>
  <c r="M5" i="3" s="1"/>
  <c r="M38" i="7"/>
  <c r="L38" i="7"/>
  <c r="AG38" i="7"/>
  <c r="AR29" i="7" s="1"/>
  <c r="AL29" i="7" s="1"/>
  <c r="F38" i="7"/>
  <c r="G24" i="18" s="1"/>
  <c r="C8" i="1"/>
  <c r="I37" i="1" s="1"/>
  <c r="BJ6" i="1"/>
  <c r="AH49" i="18"/>
  <c r="BF5" i="1"/>
  <c r="AQ22" i="18"/>
  <c r="AR22" i="18" s="1"/>
  <c r="AS22" i="18" s="1"/>
  <c r="BT8" i="1"/>
  <c r="AI48" i="7"/>
  <c r="L7" i="3" s="1"/>
  <c r="E36" i="7"/>
  <c r="F22" i="18" s="1"/>
  <c r="AP18" i="7"/>
  <c r="AH48" i="7"/>
  <c r="K7" i="3" s="1"/>
  <c r="E38" i="7"/>
  <c r="F24" i="18" s="1"/>
  <c r="BH6" i="1"/>
  <c r="AX4" i="1"/>
  <c r="U24" i="18"/>
  <c r="AM34" i="18" s="1"/>
  <c r="BT13" i="1"/>
  <c r="AQ25" i="18"/>
  <c r="AR25" i="18" s="1"/>
  <c r="AS25" i="18" s="1"/>
  <c r="BG4" i="1"/>
  <c r="AO18" i="7"/>
  <c r="BI3" i="1"/>
  <c r="BQ59" i="20"/>
  <c r="E74" i="20"/>
  <c r="Y69" i="20"/>
  <c r="CH59" i="20"/>
  <c r="G59" i="20" s="1"/>
  <c r="CH80" i="20"/>
  <c r="G80" i="20" s="1"/>
  <c r="CL54" i="20"/>
  <c r="K54" i="20" s="1"/>
  <c r="Q80" i="20"/>
  <c r="S51" i="20"/>
  <c r="W42" i="20"/>
  <c r="E60" i="20"/>
  <c r="CH33" i="20"/>
  <c r="I33" i="20" s="1"/>
  <c r="M42" i="20"/>
  <c r="BU42" i="20" s="1"/>
  <c r="S40" i="20"/>
  <c r="W59" i="20"/>
  <c r="E40" i="20"/>
  <c r="E54" i="20"/>
  <c r="CJ59" i="20"/>
  <c r="I59" i="20" s="1"/>
  <c r="S71" i="20"/>
  <c r="S80" i="20"/>
  <c r="BA58" i="20"/>
  <c r="O54" i="20"/>
  <c r="B33" i="3"/>
  <c r="E33" i="3" s="1"/>
  <c r="G33" i="3" s="1"/>
  <c r="I33" i="3" s="1"/>
  <c r="H36" i="2" s="1"/>
  <c r="Q79" i="20"/>
  <c r="W60" i="20"/>
  <c r="O73" i="20"/>
  <c r="S34" i="20"/>
  <c r="W71" i="20"/>
  <c r="O36" i="20"/>
  <c r="CJ60" i="20"/>
  <c r="I60" i="20" s="1"/>
  <c r="CJ73" i="20"/>
  <c r="I73" i="20" s="1"/>
  <c r="W73" i="20"/>
  <c r="Y52" i="20"/>
  <c r="O37" i="20"/>
  <c r="CH74" i="20"/>
  <c r="G74" i="20" s="1"/>
  <c r="AE41" i="20"/>
  <c r="AX69" i="20"/>
  <c r="AX72" i="20"/>
  <c r="AN41" i="20"/>
  <c r="BV37" i="20"/>
  <c r="BW37" i="20" s="1"/>
  <c r="CL53" i="20"/>
  <c r="K53" i="20" s="1"/>
  <c r="S60" i="20"/>
  <c r="AA60" i="20" s="1"/>
  <c r="U78" i="20"/>
  <c r="E70" i="20"/>
  <c r="K45" i="2"/>
  <c r="N45" i="2" s="1"/>
  <c r="P45" i="2" s="1"/>
  <c r="Y76" i="20"/>
  <c r="W43" i="20"/>
  <c r="BV80" i="20"/>
  <c r="BW80" i="20" s="1"/>
  <c r="BX80" i="20" s="1"/>
  <c r="BJ80" i="20" s="1"/>
  <c r="W80" i="20"/>
  <c r="Q37" i="20"/>
  <c r="CI33" i="20"/>
  <c r="K33" i="20" s="1"/>
  <c r="AP41" i="20"/>
  <c r="BU37" i="20"/>
  <c r="CH72" i="20"/>
  <c r="G72" i="20" s="1"/>
  <c r="CJ52" i="20"/>
  <c r="I52" i="20" s="1"/>
  <c r="Q72" i="20"/>
  <c r="AC37" i="20"/>
  <c r="AO41" i="20"/>
  <c r="BA69" i="20"/>
  <c r="AM41" i="20"/>
  <c r="CI37" i="20"/>
  <c r="K37" i="20" s="1"/>
  <c r="Q70" i="20"/>
  <c r="G38" i="3"/>
  <c r="I38" i="3" s="1"/>
  <c r="H41" i="2" s="1"/>
  <c r="K41" i="2" s="1"/>
  <c r="N41" i="2" s="1"/>
  <c r="P41" i="2" s="1"/>
  <c r="U70" i="20"/>
  <c r="AA70" i="20" s="1"/>
  <c r="AE70" i="20" s="1"/>
  <c r="M52" i="20"/>
  <c r="AC52" i="20" s="1"/>
  <c r="AI41" i="20"/>
  <c r="O33" i="20"/>
  <c r="CL51" i="20"/>
  <c r="K51" i="20" s="1"/>
  <c r="S33" i="20"/>
  <c r="Y55" i="20"/>
  <c r="Y35" i="20"/>
  <c r="BU80" i="20"/>
  <c r="AL39" i="20"/>
  <c r="CG35" i="20"/>
  <c r="G35" i="20" s="1"/>
  <c r="AE80" i="20"/>
  <c r="O75" i="20"/>
  <c r="AZ51" i="20"/>
  <c r="O72" i="20"/>
  <c r="E53" i="20"/>
  <c r="BV62" i="20"/>
  <c r="BW62" i="20" s="1"/>
  <c r="BX62" i="20" s="1"/>
  <c r="BR62" i="20"/>
  <c r="BS62" i="20" s="1"/>
  <c r="BT62" i="20" s="1"/>
  <c r="BF62" i="20" s="1"/>
  <c r="CE51" i="20"/>
  <c r="Q74" i="20"/>
  <c r="AO39" i="20"/>
  <c r="AN40" i="20"/>
  <c r="U35" i="20"/>
  <c r="W75" i="20"/>
  <c r="CE80" i="20"/>
  <c r="CH58" i="20"/>
  <c r="G58" i="20" s="1"/>
  <c r="CF51" i="20"/>
  <c r="CF52" i="20" s="1"/>
  <c r="E72" i="20"/>
  <c r="E52" i="20"/>
  <c r="O39" i="20"/>
  <c r="O55" i="20"/>
  <c r="CH43" i="20"/>
  <c r="I43" i="20" s="1"/>
  <c r="E37" i="20"/>
  <c r="AP40" i="20"/>
  <c r="BQ80" i="20"/>
  <c r="AL80" i="20"/>
  <c r="CL58" i="20"/>
  <c r="K58" i="20" s="1"/>
  <c r="CH57" i="20"/>
  <c r="G57" i="20" s="1"/>
  <c r="M74" i="20"/>
  <c r="AC74" i="20" s="1"/>
  <c r="CG41" i="20"/>
  <c r="G41" i="20" s="1"/>
  <c r="Y74" i="20"/>
  <c r="O35" i="20"/>
  <c r="Q57" i="20"/>
  <c r="E75" i="20"/>
  <c r="W62" i="20"/>
  <c r="CJ75" i="20"/>
  <c r="I75" i="20" s="1"/>
  <c r="Q58" i="20"/>
  <c r="S52" i="20"/>
  <c r="BB80" i="20"/>
  <c r="AK80" i="20"/>
  <c r="CJ80" i="20"/>
  <c r="I80" i="20" s="1"/>
  <c r="Q39" i="20"/>
  <c r="CG37" i="20"/>
  <c r="G37" i="20" s="1"/>
  <c r="Q41" i="20"/>
  <c r="BQ51" i="20"/>
  <c r="S35" i="20"/>
  <c r="CJ62" i="20"/>
  <c r="I62" i="20" s="1"/>
  <c r="BR80" i="20"/>
  <c r="BS80" i="20" s="1"/>
  <c r="BT80" i="20" s="1"/>
  <c r="BF80" i="20" s="1"/>
  <c r="CH78" i="20"/>
  <c r="G78" i="20" s="1"/>
  <c r="S39" i="20"/>
  <c r="O70" i="20"/>
  <c r="EI263" i="1"/>
  <c r="EB262" i="1"/>
  <c r="BU262" i="1"/>
  <c r="CB263" i="1"/>
  <c r="EB142" i="1"/>
  <c r="EI143" i="1"/>
  <c r="CB144" i="1"/>
  <c r="Y75" i="20"/>
  <c r="S59" i="20"/>
  <c r="CG33" i="20"/>
  <c r="G33" i="20" s="1"/>
  <c r="U33" i="20"/>
  <c r="AI42" i="20"/>
  <c r="CJ54" i="20"/>
  <c r="I54" i="20" s="1"/>
  <c r="O59" i="20"/>
  <c r="O51" i="20"/>
  <c r="W54" i="20"/>
  <c r="AA54" i="20" s="1"/>
  <c r="AE54" i="20" s="1"/>
  <c r="BB54" i="20" s="1"/>
  <c r="CD34" i="20"/>
  <c r="CH34" i="20"/>
  <c r="I34" i="20" s="1"/>
  <c r="E44" i="20"/>
  <c r="CJ56" i="20"/>
  <c r="I56" i="20" s="1"/>
  <c r="CL72" i="20"/>
  <c r="K72" i="20" s="1"/>
  <c r="S44" i="20"/>
  <c r="M56" i="20"/>
  <c r="M34" i="20"/>
  <c r="BV34" i="20" s="1"/>
  <c r="BW34" i="20" s="1"/>
  <c r="D39" i="3"/>
  <c r="G39" i="3" s="1"/>
  <c r="I39" i="3" s="1"/>
  <c r="H42" i="2" s="1"/>
  <c r="M33" i="20"/>
  <c r="AC33" i="20" s="1"/>
  <c r="J45" i="2"/>
  <c r="M45" i="2" s="1"/>
  <c r="O45" i="2" s="1"/>
  <c r="O69" i="20"/>
  <c r="CH36" i="20"/>
  <c r="I36" i="20" s="1"/>
  <c r="E61" i="20"/>
  <c r="W36" i="20"/>
  <c r="O61" i="20"/>
  <c r="L65" i="1"/>
  <c r="M65" i="1" s="1"/>
  <c r="N65" i="1" s="1"/>
  <c r="BA17" i="20"/>
  <c r="L26" i="1"/>
  <c r="M26" i="1" s="1"/>
  <c r="N26" i="1" s="1"/>
  <c r="L63" i="1"/>
  <c r="M63" i="1" s="1"/>
  <c r="N63" i="1" s="1"/>
  <c r="L62" i="1"/>
  <c r="M62" i="1" s="1"/>
  <c r="N62" i="1" s="1"/>
  <c r="L42" i="1"/>
  <c r="M42" i="1" s="1"/>
  <c r="N42" i="1" s="1"/>
  <c r="L21" i="1"/>
  <c r="M21" i="1" s="1"/>
  <c r="N21" i="1" s="1"/>
  <c r="BQ72" i="20"/>
  <c r="AG9" i="1"/>
  <c r="R72" i="1"/>
  <c r="V72" i="1"/>
  <c r="AS50" i="1"/>
  <c r="BE17" i="20"/>
  <c r="AS42" i="1"/>
  <c r="AS25" i="1"/>
  <c r="AS31" i="1"/>
  <c r="R32" i="1"/>
  <c r="AZ53" i="20"/>
  <c r="U62" i="20"/>
  <c r="U79" i="20"/>
  <c r="CL77" i="20"/>
  <c r="K77" i="20" s="1"/>
  <c r="BR40" i="20"/>
  <c r="BS40" i="20" s="1"/>
  <c r="BT40" i="20" s="1"/>
  <c r="BF40" i="20" s="1"/>
  <c r="AC9" i="1"/>
  <c r="AN17" i="1" s="1"/>
  <c r="AO17" i="1" s="1"/>
  <c r="AP17" i="1" s="1"/>
  <c r="V71" i="1"/>
  <c r="Y80" i="20"/>
  <c r="CL60" i="20"/>
  <c r="K60" i="20" s="1"/>
  <c r="B36" i="3"/>
  <c r="E36" i="3" s="1"/>
  <c r="F36" i="3" s="1"/>
  <c r="H36" i="3" s="1"/>
  <c r="G39" i="2" s="1"/>
  <c r="S50" i="1"/>
  <c r="AS51" i="1"/>
  <c r="S53" i="20"/>
  <c r="AA42" i="20"/>
  <c r="AL62" i="20"/>
  <c r="CL61" i="20"/>
  <c r="K61" i="20" s="1"/>
  <c r="O74" i="20"/>
  <c r="D34" i="3"/>
  <c r="G34" i="3" s="1"/>
  <c r="I34" i="3" s="1"/>
  <c r="H37" i="2" s="1"/>
  <c r="CH71" i="20"/>
  <c r="G71" i="20" s="1"/>
  <c r="E57" i="20"/>
  <c r="Q55" i="20"/>
  <c r="U39" i="20"/>
  <c r="CH69" i="20"/>
  <c r="G69" i="20" s="1"/>
  <c r="AM42" i="20"/>
  <c r="O58" i="20"/>
  <c r="AN42" i="20"/>
  <c r="AC40" i="20"/>
  <c r="AK62" i="20"/>
  <c r="S73" i="20"/>
  <c r="AK42" i="20"/>
  <c r="BU55" i="20"/>
  <c r="CH38" i="20"/>
  <c r="I38" i="20" s="1"/>
  <c r="AP62" i="20"/>
  <c r="Y62" i="20"/>
  <c r="O43" i="20"/>
  <c r="U44" i="20"/>
  <c r="CG44" i="20"/>
  <c r="G44" i="20" s="1"/>
  <c r="Q52" i="20"/>
  <c r="Y59" i="20"/>
  <c r="U55" i="20"/>
  <c r="U71" i="20"/>
  <c r="S56" i="20"/>
  <c r="AE42" i="20"/>
  <c r="S36" i="20"/>
  <c r="AJ42" i="20"/>
  <c r="AO42" i="20"/>
  <c r="BR55" i="20"/>
  <c r="BS55" i="20" s="1"/>
  <c r="AM62" i="20"/>
  <c r="S43" i="20"/>
  <c r="S77" i="20"/>
  <c r="M78" i="20"/>
  <c r="AC78" i="20" s="1"/>
  <c r="E77" i="20"/>
  <c r="E80" i="20"/>
  <c r="AE62" i="20"/>
  <c r="Y71" i="20"/>
  <c r="BR39" i="20"/>
  <c r="BS39" i="20" s="1"/>
  <c r="BT39" i="20" s="1"/>
  <c r="BF39" i="20" s="1"/>
  <c r="AG42" i="20"/>
  <c r="B35" i="3"/>
  <c r="E35" i="3" s="1"/>
  <c r="F35" i="3" s="1"/>
  <c r="H35" i="3" s="1"/>
  <c r="G38" i="2" s="1"/>
  <c r="AG62" i="20"/>
  <c r="U34" i="20"/>
  <c r="BA70" i="20"/>
  <c r="CJ78" i="20"/>
  <c r="I78" i="20" s="1"/>
  <c r="S58" i="20"/>
  <c r="U52" i="20"/>
  <c r="CD77" i="20"/>
  <c r="AA62" i="20"/>
  <c r="AP42" i="20"/>
  <c r="BA62" i="20"/>
  <c r="CH40" i="20"/>
  <c r="I40" i="20" s="1"/>
  <c r="CG34" i="20"/>
  <c r="G34" i="20" s="1"/>
  <c r="Y79" i="20"/>
  <c r="S57" i="20"/>
  <c r="AX57" i="20"/>
  <c r="CE57" i="20"/>
  <c r="CD36" i="20"/>
  <c r="BU36" i="20"/>
  <c r="BV36" i="20"/>
  <c r="BW36" i="20" s="1"/>
  <c r="BQ36" i="20"/>
  <c r="CE36" i="20"/>
  <c r="BA36" i="20"/>
  <c r="BR36" i="20"/>
  <c r="BS36" i="20" s="1"/>
  <c r="AJ76" i="20"/>
  <c r="AI76" i="20"/>
  <c r="AN76" i="20"/>
  <c r="AP76" i="20"/>
  <c r="BQ43" i="20"/>
  <c r="AA43" i="20"/>
  <c r="AI43" i="20"/>
  <c r="AL43" i="20"/>
  <c r="AN43" i="20"/>
  <c r="CD43" i="20"/>
  <c r="AE43" i="20"/>
  <c r="CE43" i="20"/>
  <c r="BB43" i="20"/>
  <c r="AM43" i="20"/>
  <c r="AK43" i="20"/>
  <c r="AG43" i="20"/>
  <c r="AP43" i="20"/>
  <c r="BV43" i="20"/>
  <c r="BW43" i="20" s="1"/>
  <c r="BX43" i="20" s="1"/>
  <c r="AJ43" i="20"/>
  <c r="AO43" i="20"/>
  <c r="CD54" i="20"/>
  <c r="AZ55" i="20"/>
  <c r="BV54" i="20"/>
  <c r="BW54" i="20" s="1"/>
  <c r="AI44" i="20"/>
  <c r="AP44" i="20"/>
  <c r="AA44" i="20"/>
  <c r="AO44" i="20"/>
  <c r="AE44" i="20"/>
  <c r="AK44" i="20"/>
  <c r="AL44" i="20"/>
  <c r="AM44" i="20"/>
  <c r="AN44" i="20"/>
  <c r="CE44" i="20"/>
  <c r="AX44" i="20"/>
  <c r="AG44" i="20"/>
  <c r="AJ44" i="20"/>
  <c r="BA44" i="20"/>
  <c r="CD38" i="20"/>
  <c r="BA38" i="20"/>
  <c r="AX38" i="20"/>
  <c r="CE38" i="20"/>
  <c r="AX71" i="20"/>
  <c r="CD71" i="20"/>
  <c r="AI39" i="20"/>
  <c r="AX34" i="20"/>
  <c r="Y39" i="20"/>
  <c r="W61" i="20"/>
  <c r="Y41" i="20"/>
  <c r="U36" i="20"/>
  <c r="BU40" i="20"/>
  <c r="CJ72" i="20"/>
  <c r="I72" i="20" s="1"/>
  <c r="AC72" i="20"/>
  <c r="BV39" i="20"/>
  <c r="BW39" i="20" s="1"/>
  <c r="BX39" i="20" s="1"/>
  <c r="BJ39" i="20" s="1"/>
  <c r="BU53" i="20"/>
  <c r="CD53" i="20"/>
  <c r="BA73" i="20"/>
  <c r="BR73" i="20"/>
  <c r="BS73" i="20" s="1"/>
  <c r="BR38" i="20"/>
  <c r="BS38" i="20" s="1"/>
  <c r="BQ73" i="20"/>
  <c r="BR75" i="20"/>
  <c r="BS75" i="20" s="1"/>
  <c r="BT75" i="20" s="1"/>
  <c r="BF75" i="20" s="1"/>
  <c r="BR53" i="20"/>
  <c r="BS53" i="20" s="1"/>
  <c r="Y78" i="20"/>
  <c r="AA39" i="20"/>
  <c r="CG36" i="20"/>
  <c r="G36" i="20" s="1"/>
  <c r="E55" i="20"/>
  <c r="AP39" i="20"/>
  <c r="AM39" i="20"/>
  <c r="BV53" i="20"/>
  <c r="BW53" i="20" s="1"/>
  <c r="CE39" i="20"/>
  <c r="AA37" i="20"/>
  <c r="AE37" i="20" s="1"/>
  <c r="BU39" i="20"/>
  <c r="BA39" i="20"/>
  <c r="B40" i="3"/>
  <c r="E40" i="3" s="1"/>
  <c r="F40" i="3" s="1"/>
  <c r="H40" i="3" s="1"/>
  <c r="G43" i="2" s="1"/>
  <c r="U53" i="20"/>
  <c r="B32" i="3"/>
  <c r="E32" i="3" s="1"/>
  <c r="G32" i="3" s="1"/>
  <c r="I32" i="3" s="1"/>
  <c r="H35" i="2" s="1"/>
  <c r="M79" i="20"/>
  <c r="AC79" i="20" s="1"/>
  <c r="AG39" i="20"/>
  <c r="BB39" i="20"/>
  <c r="AK39" i="20"/>
  <c r="AE39" i="20"/>
  <c r="CH53" i="20"/>
  <c r="G53" i="20" s="1"/>
  <c r="BU43" i="20"/>
  <c r="CH75" i="20"/>
  <c r="G75" i="20" s="1"/>
  <c r="U75" i="20"/>
  <c r="Q60" i="20"/>
  <c r="U60" i="20"/>
  <c r="CH60" i="20"/>
  <c r="G60" i="20" s="1"/>
  <c r="AL78" i="20"/>
  <c r="AJ78" i="20"/>
  <c r="AA78" i="20"/>
  <c r="AI78" i="20"/>
  <c r="AP78" i="20"/>
  <c r="AO78" i="20"/>
  <c r="AK78" i="20"/>
  <c r="AN78" i="20"/>
  <c r="BA78" i="20"/>
  <c r="CE78" i="20"/>
  <c r="AE78" i="20"/>
  <c r="AX78" i="20"/>
  <c r="AM78" i="20"/>
  <c r="BV72" i="20"/>
  <c r="BW72" i="20" s="1"/>
  <c r="BR72" i="20"/>
  <c r="BS72" i="20" s="1"/>
  <c r="BT72" i="20" s="1"/>
  <c r="BF72" i="20" s="1"/>
  <c r="BV51" i="20"/>
  <c r="BW51" i="20" s="1"/>
  <c r="S38" i="20"/>
  <c r="E41" i="20"/>
  <c r="S41" i="20"/>
  <c r="AC59" i="20"/>
  <c r="CI43" i="20"/>
  <c r="K43" i="20" s="1"/>
  <c r="Y43" i="20"/>
  <c r="J44" i="2"/>
  <c r="M44" i="2" s="1"/>
  <c r="O44" i="2" s="1"/>
  <c r="K44" i="2"/>
  <c r="N44" i="2" s="1"/>
  <c r="P44" i="2" s="1"/>
  <c r="D37" i="3"/>
  <c r="B37" i="3"/>
  <c r="E37" i="3" s="1"/>
  <c r="AK74" i="20"/>
  <c r="CE74" i="20"/>
  <c r="AL74" i="20"/>
  <c r="AE74" i="20"/>
  <c r="AI74" i="20"/>
  <c r="AN74" i="20"/>
  <c r="AP74" i="20"/>
  <c r="AM74" i="20"/>
  <c r="AA74" i="20"/>
  <c r="CD74" i="20"/>
  <c r="AO74" i="20"/>
  <c r="BA74" i="20"/>
  <c r="AJ74" i="20"/>
  <c r="AX74" i="20"/>
  <c r="BA34" i="20"/>
  <c r="Q75" i="20"/>
  <c r="CI44" i="20"/>
  <c r="K44" i="20" s="1"/>
  <c r="Y44" i="20"/>
  <c r="M58" i="20"/>
  <c r="BV58" i="20" s="1"/>
  <c r="BW58" i="20" s="1"/>
  <c r="BX58" i="20" s="1"/>
  <c r="BJ58" i="20" s="1"/>
  <c r="W58" i="20"/>
  <c r="CJ58" i="20"/>
  <c r="I58" i="20" s="1"/>
  <c r="AA76" i="20"/>
  <c r="AL76" i="20"/>
  <c r="CD76" i="20"/>
  <c r="BR76" i="20"/>
  <c r="BS76" i="20" s="1"/>
  <c r="BT76" i="20" s="1"/>
  <c r="BF76" i="20" s="1"/>
  <c r="CE76" i="20"/>
  <c r="AX76" i="20"/>
  <c r="AK76" i="20"/>
  <c r="AG76" i="20"/>
  <c r="BA76" i="20"/>
  <c r="BQ76" i="20"/>
  <c r="AM76" i="20"/>
  <c r="BU76" i="20"/>
  <c r="BB76" i="20"/>
  <c r="AO76" i="20"/>
  <c r="AE76" i="20"/>
  <c r="AC51" i="20"/>
  <c r="BU51" i="20"/>
  <c r="BR51" i="20"/>
  <c r="BS51" i="20" s="1"/>
  <c r="O62" i="20"/>
  <c r="S62" i="20"/>
  <c r="E62" i="20"/>
  <c r="AZ56" i="20"/>
  <c r="AZ57" i="20" s="1"/>
  <c r="AZ58" i="20" s="1"/>
  <c r="AZ59" i="20" s="1"/>
  <c r="AZ60" i="20" s="1"/>
  <c r="AZ61" i="20" s="1"/>
  <c r="AZ62" i="20" s="1"/>
  <c r="AZ63" i="20" s="1"/>
  <c r="AZ64" i="20" s="1"/>
  <c r="AZ65" i="20" s="1"/>
  <c r="BV55" i="20"/>
  <c r="BW55" i="20" s="1"/>
  <c r="BQ55" i="20"/>
  <c r="CL70" i="20"/>
  <c r="K70" i="20" s="1"/>
  <c r="CH35" i="20"/>
  <c r="I35" i="20" s="1"/>
  <c r="M35" i="20"/>
  <c r="BR35" i="20" s="1"/>
  <c r="BS35" i="20" s="1"/>
  <c r="W35" i="20"/>
  <c r="U51" i="20"/>
  <c r="CH51" i="20"/>
  <c r="G51" i="20" s="1"/>
  <c r="Q51" i="20"/>
  <c r="CD78" i="20"/>
  <c r="CD58" i="20"/>
  <c r="AX58" i="20"/>
  <c r="AA58" i="20"/>
  <c r="AE58" i="20" s="1"/>
  <c r="CE58" i="20"/>
  <c r="BA41" i="20"/>
  <c r="AK41" i="20"/>
  <c r="AG41" i="20"/>
  <c r="AL41" i="20"/>
  <c r="CE41" i="20"/>
  <c r="CD41" i="20"/>
  <c r="AA41" i="20"/>
  <c r="AJ41" i="20"/>
  <c r="BA35" i="20"/>
  <c r="CD35" i="20"/>
  <c r="CE35" i="20"/>
  <c r="AX35" i="20"/>
  <c r="AZ35" i="20"/>
  <c r="AK79" i="20"/>
  <c r="BA79" i="20"/>
  <c r="AX79" i="20"/>
  <c r="AE79" i="20"/>
  <c r="AP75" i="20"/>
  <c r="BQ75" i="20"/>
  <c r="AL75" i="20"/>
  <c r="BB75" i="20"/>
  <c r="CE75" i="20"/>
  <c r="BU75" i="20"/>
  <c r="BV75" i="20"/>
  <c r="BW75" i="20" s="1"/>
  <c r="BX75" i="20" s="1"/>
  <c r="BJ75" i="20" s="1"/>
  <c r="AG75" i="20"/>
  <c r="BU54" i="20"/>
  <c r="Q77" i="20"/>
  <c r="W76" i="20"/>
  <c r="O56" i="20"/>
  <c r="BA57" i="20"/>
  <c r="Y57" i="20"/>
  <c r="AE40" i="20"/>
  <c r="U43" i="20"/>
  <c r="BA71" i="20"/>
  <c r="CE71" i="20"/>
  <c r="BB40" i="20"/>
  <c r="AJ40" i="20"/>
  <c r="BR54" i="20"/>
  <c r="BS54" i="20" s="1"/>
  <c r="AA40" i="20"/>
  <c r="AZ72" i="20"/>
  <c r="AZ71" i="20"/>
  <c r="E79" i="20"/>
  <c r="S79" i="20"/>
  <c r="M61" i="20"/>
  <c r="BU61" i="20" s="1"/>
  <c r="CJ76" i="20"/>
  <c r="I76" i="20" s="1"/>
  <c r="AO40" i="20"/>
  <c r="Q69" i="20"/>
  <c r="U61" i="20"/>
  <c r="BU71" i="20"/>
  <c r="BA54" i="20"/>
  <c r="W38" i="20"/>
  <c r="W72" i="20"/>
  <c r="AA72" i="20" s="1"/>
  <c r="AL40" i="20"/>
  <c r="AK40" i="20"/>
  <c r="AM40" i="20"/>
  <c r="BQ40" i="20"/>
  <c r="BQ54" i="20"/>
  <c r="Q61" i="20"/>
  <c r="AX54" i="20"/>
  <c r="BV40" i="20"/>
  <c r="BW40" i="20" s="1"/>
  <c r="BX40" i="20" s="1"/>
  <c r="BJ40" i="20" s="1"/>
  <c r="CE54" i="20"/>
  <c r="AG40" i="20"/>
  <c r="CD57" i="20"/>
  <c r="BV71" i="20"/>
  <c r="BW71" i="20" s="1"/>
  <c r="CH41" i="20"/>
  <c r="I41" i="20" s="1"/>
  <c r="CG43" i="20"/>
  <c r="G43" i="20" s="1"/>
  <c r="M41" i="20"/>
  <c r="BB41" i="20" s="1"/>
  <c r="BA52" i="20"/>
  <c r="AX52" i="20"/>
  <c r="CD52" i="20"/>
  <c r="CE52" i="20"/>
  <c r="AZ52" i="20"/>
  <c r="AX33" i="20"/>
  <c r="CD33" i="20"/>
  <c r="BA33" i="20"/>
  <c r="AZ34" i="20"/>
  <c r="CE33" i="20"/>
  <c r="AZ33" i="20"/>
  <c r="AC60" i="20"/>
  <c r="BR60" i="20"/>
  <c r="BS60" i="20" s="1"/>
  <c r="BQ60" i="20"/>
  <c r="AI60" i="20" s="1"/>
  <c r="BU60" i="20"/>
  <c r="AM60" i="20" s="1"/>
  <c r="BU38" i="20"/>
  <c r="BQ38" i="20"/>
  <c r="BV38" i="20"/>
  <c r="AC38" i="20"/>
  <c r="BA40" i="20"/>
  <c r="CE40" i="20"/>
  <c r="CD40" i="20"/>
  <c r="AX40" i="20"/>
  <c r="BV76" i="20"/>
  <c r="BW76" i="20" s="1"/>
  <c r="BX76" i="20" s="1"/>
  <c r="BJ76" i="20" s="1"/>
  <c r="AC76" i="20"/>
  <c r="BQ39" i="20"/>
  <c r="CD39" i="20"/>
  <c r="AX39" i="20"/>
  <c r="M57" i="20"/>
  <c r="CJ57" i="20"/>
  <c r="I57" i="20" s="1"/>
  <c r="W57" i="20"/>
  <c r="AA57" i="20" s="1"/>
  <c r="AE57" i="20" s="1"/>
  <c r="AX60" i="20"/>
  <c r="CE60" i="20"/>
  <c r="BV60" i="20"/>
  <c r="BW60" i="20" s="1"/>
  <c r="BX60" i="20" s="1"/>
  <c r="BJ60" i="20" s="1"/>
  <c r="CD60" i="20"/>
  <c r="BA60" i="20"/>
  <c r="BA53" i="20"/>
  <c r="CE53" i="20"/>
  <c r="AZ54" i="20"/>
  <c r="BQ53" i="20"/>
  <c r="AZ70" i="20"/>
  <c r="CD70" i="20"/>
  <c r="CE70" i="20"/>
  <c r="Q76" i="20"/>
  <c r="U76" i="20"/>
  <c r="CH76" i="20"/>
  <c r="G76" i="20" s="1"/>
  <c r="BQ62" i="20"/>
  <c r="AX62" i="20"/>
  <c r="AJ62" i="20"/>
  <c r="AN62" i="20"/>
  <c r="AO62" i="20"/>
  <c r="BB62" i="20"/>
  <c r="BU62" i="20"/>
  <c r="CE62" i="20"/>
  <c r="AX42" i="20"/>
  <c r="CD42" i="20"/>
  <c r="BA42" i="20"/>
  <c r="CE42" i="20"/>
  <c r="AX51" i="20"/>
  <c r="CD51" i="20"/>
  <c r="O78" i="20"/>
  <c r="E78" i="20"/>
  <c r="BU59" i="20"/>
  <c r="AM59" i="20" s="1"/>
  <c r="BR59" i="20"/>
  <c r="BS59" i="20" s="1"/>
  <c r="BV59" i="20"/>
  <c r="BW59" i="20" s="1"/>
  <c r="BX59" i="20" s="1"/>
  <c r="BJ59" i="20" s="1"/>
  <c r="BA59" i="20"/>
  <c r="CD37" i="20"/>
  <c r="AZ37" i="20"/>
  <c r="CE37" i="20"/>
  <c r="AZ38" i="20"/>
  <c r="AZ39" i="20" s="1"/>
  <c r="AZ40" i="20" s="1"/>
  <c r="AZ41" i="20" s="1"/>
  <c r="AZ42" i="20" s="1"/>
  <c r="AZ43" i="20" s="1"/>
  <c r="AZ44" i="20" s="1"/>
  <c r="AZ45" i="20" s="1"/>
  <c r="AZ46" i="20" s="1"/>
  <c r="BA37" i="20"/>
  <c r="BR37" i="20"/>
  <c r="CE69" i="20"/>
  <c r="AZ69" i="20"/>
  <c r="CE56" i="20"/>
  <c r="AX80" i="20"/>
  <c r="BA80" i="20"/>
  <c r="AJ80" i="20"/>
  <c r="AN80" i="20"/>
  <c r="AA80" i="20"/>
  <c r="AG80" i="20"/>
  <c r="AP80" i="20"/>
  <c r="AX77" i="20"/>
  <c r="AI77" i="20"/>
  <c r="AO77" i="20"/>
  <c r="AM77" i="20"/>
  <c r="AP77" i="20"/>
  <c r="AL77" i="20"/>
  <c r="AJ77" i="20"/>
  <c r="AK77" i="20"/>
  <c r="AG77" i="20"/>
  <c r="AE77" i="20"/>
  <c r="AA77" i="20"/>
  <c r="BA77" i="20"/>
  <c r="CE77" i="20"/>
  <c r="CE73" i="20"/>
  <c r="CD73" i="20"/>
  <c r="AZ73" i="20"/>
  <c r="AZ74" i="20" s="1"/>
  <c r="AZ75" i="20" s="1"/>
  <c r="AZ76" i="20" s="1"/>
  <c r="AZ77" i="20" s="1"/>
  <c r="AZ78" i="20" s="1"/>
  <c r="AZ79" i="20" s="1"/>
  <c r="AZ80" i="20" s="1"/>
  <c r="AZ81" i="20" s="1"/>
  <c r="AZ82" i="20" s="1"/>
  <c r="AZ83" i="20" s="1"/>
  <c r="AX73" i="20"/>
  <c r="BV73" i="20"/>
  <c r="BW73" i="20" s="1"/>
  <c r="BU73" i="20"/>
  <c r="AO61" i="20"/>
  <c r="AJ61" i="20"/>
  <c r="AP61" i="20"/>
  <c r="AK61" i="20"/>
  <c r="AG61" i="20"/>
  <c r="CD61" i="20"/>
  <c r="AN61" i="20"/>
  <c r="CD55" i="20"/>
  <c r="BA55" i="20"/>
  <c r="AX55" i="20"/>
  <c r="CE55" i="20"/>
  <c r="BQ71" i="20"/>
  <c r="AC71" i="20"/>
  <c r="BR71" i="20"/>
  <c r="BU72" i="20"/>
  <c r="BA72" i="20"/>
  <c r="CE72" i="20"/>
  <c r="AE75" i="20"/>
  <c r="BA43" i="20"/>
  <c r="CD79" i="20"/>
  <c r="CE79" i="20"/>
  <c r="CJ70" i="20"/>
  <c r="I70" i="20" s="1"/>
  <c r="CJ77" i="20"/>
  <c r="I77" i="20" s="1"/>
  <c r="AX75" i="20"/>
  <c r="AX43" i="20"/>
  <c r="CJ71" i="20"/>
  <c r="I71" i="20" s="1"/>
  <c r="AI79" i="20"/>
  <c r="AJ75" i="20"/>
  <c r="AL79" i="20"/>
  <c r="AO75" i="20"/>
  <c r="AN75" i="20"/>
  <c r="AG79" i="20"/>
  <c r="M70" i="20"/>
  <c r="E34" i="20"/>
  <c r="AI75" i="20"/>
  <c r="AM79" i="20"/>
  <c r="AJ79" i="20"/>
  <c r="AA79" i="20"/>
  <c r="CD75" i="20"/>
  <c r="M77" i="20"/>
  <c r="BQ77" i="20" s="1"/>
  <c r="AX36" i="20"/>
  <c r="O38" i="20"/>
  <c r="AK75" i="20"/>
  <c r="AN79" i="20"/>
  <c r="AM75" i="20"/>
  <c r="W40" i="20"/>
  <c r="BR43" i="20"/>
  <c r="BS43" i="20" s="1"/>
  <c r="BT43" i="20" s="1"/>
  <c r="BF43" i="20" s="1"/>
  <c r="AZ36" i="20"/>
  <c r="AA75" i="20"/>
  <c r="AP79" i="20"/>
  <c r="BA75" i="20"/>
  <c r="AO79" i="20"/>
  <c r="G21" i="7"/>
  <c r="AO21" i="7"/>
  <c r="I17" i="1"/>
  <c r="AN18" i="7"/>
  <c r="AQ18" i="7" s="1"/>
  <c r="AR18" i="7" s="1"/>
  <c r="F26" i="7" s="1"/>
  <c r="AI28" i="7" s="1"/>
  <c r="AJ47" i="7" s="1"/>
  <c r="M6" i="3" s="1"/>
  <c r="AO28" i="7"/>
  <c r="AH28" i="7" s="1"/>
  <c r="F37" i="7" s="1"/>
  <c r="G23" i="18" s="1"/>
  <c r="AH47" i="18"/>
  <c r="AH38" i="18"/>
  <c r="C32" i="18" s="1"/>
  <c r="AL16" i="7"/>
  <c r="AM16" i="7" s="1"/>
  <c r="AN16" i="7" s="1"/>
  <c r="AQ16" i="7" s="1"/>
  <c r="AR16" i="7" s="1"/>
  <c r="F24" i="7" s="1"/>
  <c r="AI26" i="7" s="1"/>
  <c r="AG45" i="7"/>
  <c r="J4" i="3" s="1"/>
  <c r="AN19" i="7"/>
  <c r="AQ19" i="7" s="1"/>
  <c r="AR19" i="7" s="1"/>
  <c r="F27" i="7" s="1"/>
  <c r="AI29" i="7" s="1"/>
  <c r="AH38" i="7" s="1"/>
  <c r="AL35" i="7"/>
  <c r="BS7" i="1"/>
  <c r="E26" i="7"/>
  <c r="AF19" i="7" s="1"/>
  <c r="AE19" i="7" s="1"/>
  <c r="R28" i="7"/>
  <c r="S28" i="7" s="1"/>
  <c r="T28" i="7" s="1"/>
  <c r="AF11" i="7"/>
  <c r="C10" i="1"/>
  <c r="I57" i="1" s="1"/>
  <c r="AF47" i="7"/>
  <c r="I6" i="3" s="1"/>
  <c r="R24" i="7"/>
  <c r="S24" i="7" s="1"/>
  <c r="O25" i="18"/>
  <c r="AJ35" i="18" s="1"/>
  <c r="AS5" i="1"/>
  <c r="BF3" i="1"/>
  <c r="U22" i="18"/>
  <c r="AM32" i="18" s="1"/>
  <c r="AM48" i="18" s="1"/>
  <c r="AM39" i="18" s="1"/>
  <c r="BS8" i="1"/>
  <c r="BT7" i="1"/>
  <c r="AO16" i="7"/>
  <c r="AP16" i="7"/>
  <c r="AS23" i="18"/>
  <c r="AS26" i="18" s="1"/>
  <c r="AR26" i="18"/>
  <c r="L27" i="18" s="1"/>
  <c r="J38" i="7"/>
  <c r="K24" i="18" s="1"/>
  <c r="BK6" i="1"/>
  <c r="AR49" i="18"/>
  <c r="AY4" i="1"/>
  <c r="AG36" i="7"/>
  <c r="AR27" i="7" s="1"/>
  <c r="AL27" i="7" s="1"/>
  <c r="F36" i="7"/>
  <c r="G22" i="18" s="1"/>
  <c r="BT9" i="1"/>
  <c r="BB4" i="1"/>
  <c r="BV9" i="1"/>
  <c r="AY6" i="1"/>
  <c r="AO17" i="7"/>
  <c r="E25" i="7"/>
  <c r="AF18" i="7" s="1"/>
  <c r="AE18" i="7" s="1"/>
  <c r="BF4" i="1"/>
  <c r="AD9" i="1" s="1"/>
  <c r="R25" i="7"/>
  <c r="S25" i="7" s="1"/>
  <c r="P22" i="18"/>
  <c r="AK32" i="18" s="1"/>
  <c r="AK48" i="18" s="1"/>
  <c r="AK39" i="18" s="1"/>
  <c r="AP17" i="7"/>
  <c r="AI37" i="7"/>
  <c r="AS49" i="18"/>
  <c r="AI49" i="18"/>
  <c r="AI40" i="18" s="1"/>
  <c r="AN40" i="18" s="1"/>
  <c r="I39" i="18" s="1"/>
  <c r="BV7" i="1"/>
  <c r="AG48" i="7"/>
  <c r="J7" i="3" s="1"/>
  <c r="AW6" i="1"/>
  <c r="D38" i="7"/>
  <c r="E24" i="18" s="1"/>
  <c r="AJ20" i="7"/>
  <c r="AL20" i="7" s="1"/>
  <c r="AM20" i="7" s="1"/>
  <c r="S23" i="18"/>
  <c r="BH5" i="1"/>
  <c r="M39" i="7"/>
  <c r="BW13" i="1"/>
  <c r="AW3" i="1"/>
  <c r="BI5" i="1"/>
  <c r="AI9" i="1" s="1"/>
  <c r="AF28" i="7"/>
  <c r="AG28" i="7"/>
  <c r="BV8" i="1"/>
  <c r="AS4" i="1"/>
  <c r="T9" i="1" s="1"/>
  <c r="AF46" i="7"/>
  <c r="I5" i="3" s="1"/>
  <c r="C22" i="18"/>
  <c r="AH32" i="18" s="1"/>
  <c r="BI6" i="1"/>
  <c r="T24" i="18"/>
  <c r="AO20" i="7"/>
  <c r="P25" i="18"/>
  <c r="AK35" i="18" s="1"/>
  <c r="BF7" i="1"/>
  <c r="AP20" i="7"/>
  <c r="BG3" i="1"/>
  <c r="E24" i="7"/>
  <c r="AF17" i="7" s="1"/>
  <c r="AE17" i="7" s="1"/>
  <c r="BG5" i="1"/>
  <c r="AE9" i="1" s="1"/>
  <c r="R26" i="7"/>
  <c r="S26" i="7" s="1"/>
  <c r="BH4" i="1"/>
  <c r="S22" i="18"/>
  <c r="E35" i="7"/>
  <c r="AX3" i="1"/>
  <c r="AF48" i="7"/>
  <c r="I7" i="3" s="1"/>
  <c r="C24" i="18"/>
  <c r="AH34" i="18" s="1"/>
  <c r="Q24" i="18"/>
  <c r="AL34" i="18" s="1"/>
  <c r="BG6" i="1"/>
  <c r="AP19" i="7"/>
  <c r="R27" i="7"/>
  <c r="S27" i="7" s="1"/>
  <c r="AO19" i="7"/>
  <c r="AP5" i="7"/>
  <c r="C21" i="7" s="1"/>
  <c r="E1" i="20"/>
  <c r="E1" i="7"/>
  <c r="E1" i="12"/>
  <c r="E1" i="1"/>
  <c r="E1" i="18"/>
  <c r="C1" i="17"/>
  <c r="C1" i="16"/>
  <c r="D1" i="4"/>
  <c r="L68" i="1" l="1"/>
  <c r="M68" i="1" s="1"/>
  <c r="N68" i="1" s="1"/>
  <c r="AE60" i="20"/>
  <c r="BB60" i="20"/>
  <c r="AG60" i="20" s="1"/>
  <c r="BT60" i="20"/>
  <c r="BF60" i="20" s="1"/>
  <c r="BT59" i="20"/>
  <c r="BF59" i="20" s="1"/>
  <c r="L50" i="1"/>
  <c r="M50" i="1" s="1"/>
  <c r="N50" i="1" s="1"/>
  <c r="L51" i="1"/>
  <c r="M51" i="1" s="1"/>
  <c r="N51" i="1" s="1"/>
  <c r="AO58" i="20"/>
  <c r="L48" i="1"/>
  <c r="M48" i="1" s="1"/>
  <c r="N48" i="1" s="1"/>
  <c r="AJ60" i="20"/>
  <c r="V51" i="1"/>
  <c r="AP60" i="20"/>
  <c r="AK60" i="20"/>
  <c r="AN60" i="20"/>
  <c r="AN59" i="20"/>
  <c r="AO59" i="20"/>
  <c r="AP59" i="20"/>
  <c r="AN58" i="20"/>
  <c r="AP58" i="20"/>
  <c r="R51" i="1"/>
  <c r="U51" i="1" s="1"/>
  <c r="L45" i="2"/>
  <c r="G37" i="7"/>
  <c r="H23" i="18" s="1"/>
  <c r="BT10" i="1"/>
  <c r="AI36" i="7"/>
  <c r="AH36" i="7"/>
  <c r="AJ36" i="7" s="1"/>
  <c r="AK36" i="7" s="1"/>
  <c r="AP27" i="7" s="1"/>
  <c r="AJ27" i="7" s="1"/>
  <c r="AZ4" i="1" s="1"/>
  <c r="G36" i="7"/>
  <c r="H22" i="18" s="1"/>
  <c r="AO22" i="18" s="1"/>
  <c r="AP22" i="18" s="1"/>
  <c r="AY5" i="1"/>
  <c r="DG253" i="1" s="1"/>
  <c r="U72" i="1"/>
  <c r="AN39" i="18"/>
  <c r="I38" i="18" s="1"/>
  <c r="F39" i="3"/>
  <c r="H39" i="3" s="1"/>
  <c r="G42" i="2" s="1"/>
  <c r="K42" i="2" s="1"/>
  <c r="AA33" i="20"/>
  <c r="AE33" i="20" s="1"/>
  <c r="S70" i="1"/>
  <c r="DN133" i="1"/>
  <c r="R70" i="1"/>
  <c r="BA30" i="1" s="1"/>
  <c r="AH9" i="1"/>
  <c r="BQ42" i="20"/>
  <c r="BV42" i="20"/>
  <c r="BW42" i="20" s="1"/>
  <c r="BX42" i="20" s="1"/>
  <c r="BJ42" i="20" s="1"/>
  <c r="AC69" i="20"/>
  <c r="AC42" i="20"/>
  <c r="AF7" i="1"/>
  <c r="X7" i="1"/>
  <c r="AG7" i="1"/>
  <c r="AC7" i="1"/>
  <c r="AB7" i="1"/>
  <c r="F43" i="2"/>
  <c r="BR69" i="20"/>
  <c r="BS69" i="20" s="1"/>
  <c r="BQ69" i="20"/>
  <c r="BU69" i="20"/>
  <c r="BX69" i="20" s="1"/>
  <c r="BJ69" i="20" s="1"/>
  <c r="BI69" i="20" s="1"/>
  <c r="BK69" i="20" s="1"/>
  <c r="F42" i="2"/>
  <c r="U52" i="1"/>
  <c r="DG140" i="1"/>
  <c r="DG141" i="1" s="1"/>
  <c r="CB21" i="1"/>
  <c r="CB22" i="1" s="1"/>
  <c r="DE14" i="1"/>
  <c r="DJ14" i="1" s="1"/>
  <c r="DG21" i="1" s="1"/>
  <c r="DG260" i="1"/>
  <c r="DG261" i="1" s="1"/>
  <c r="DG262" i="1" s="1"/>
  <c r="U30" i="1"/>
  <c r="BB22" i="1" s="1"/>
  <c r="BB23" i="1" s="1"/>
  <c r="U32" i="1"/>
  <c r="BA22" i="1"/>
  <c r="U71" i="1"/>
  <c r="U31" i="1"/>
  <c r="BU44" i="20"/>
  <c r="BR44" i="20"/>
  <c r="BS44" i="20" s="1"/>
  <c r="BT44" i="20" s="1"/>
  <c r="BF44" i="20" s="1"/>
  <c r="BQ33" i="20"/>
  <c r="BB44" i="20"/>
  <c r="BV44" i="20"/>
  <c r="BW44" i="20" s="1"/>
  <c r="BX44" i="20" s="1"/>
  <c r="BQ44" i="20"/>
  <c r="AA69" i="20"/>
  <c r="AE69" i="20" s="1"/>
  <c r="AH7" i="1"/>
  <c r="L22" i="1"/>
  <c r="M22" i="1" s="1"/>
  <c r="N22" i="1" s="1"/>
  <c r="BA13" i="20"/>
  <c r="W7" i="1"/>
  <c r="AD7" i="1"/>
  <c r="AA34" i="20"/>
  <c r="AE34" i="20" s="1"/>
  <c r="T7" i="1"/>
  <c r="BA26" i="1"/>
  <c r="AA56" i="20"/>
  <c r="AE56" i="20" s="1"/>
  <c r="AD8" i="1"/>
  <c r="T8" i="1"/>
  <c r="AG8" i="1"/>
  <c r="W8" i="1"/>
  <c r="AC55" i="1" s="1"/>
  <c r="AF8" i="1"/>
  <c r="AC8" i="1"/>
  <c r="AB8" i="1"/>
  <c r="AH8" i="1"/>
  <c r="BR42" i="20"/>
  <c r="BS42" i="20" s="1"/>
  <c r="BT42" i="20" s="1"/>
  <c r="BF42" i="20" s="1"/>
  <c r="BB42" i="20"/>
  <c r="F33" i="3"/>
  <c r="H33" i="3" s="1"/>
  <c r="G36" i="2" s="1"/>
  <c r="K36" i="2" s="1"/>
  <c r="BQ79" i="20"/>
  <c r="BN7" i="1"/>
  <c r="BO7" i="1" s="1"/>
  <c r="DG14" i="1"/>
  <c r="X9" i="1"/>
  <c r="BB12" i="1" s="1"/>
  <c r="P5" i="3" s="1"/>
  <c r="M36" i="7"/>
  <c r="L36" i="7"/>
  <c r="AO26" i="7"/>
  <c r="AH26" i="7" s="1"/>
  <c r="AY3" i="1" s="1"/>
  <c r="X8" i="1" s="1"/>
  <c r="BV78" i="20"/>
  <c r="BW78" i="20" s="1"/>
  <c r="BX78" i="20" s="1"/>
  <c r="BJ78" i="20" s="1"/>
  <c r="G36" i="3"/>
  <c r="I36" i="3" s="1"/>
  <c r="H39" i="2" s="1"/>
  <c r="J39" i="2" s="1"/>
  <c r="M39" i="2" s="1"/>
  <c r="O39" i="2" s="1"/>
  <c r="AA51" i="20"/>
  <c r="AE51" i="20" s="1"/>
  <c r="J41" i="2"/>
  <c r="M41" i="2" s="1"/>
  <c r="O41" i="2" s="1"/>
  <c r="AA73" i="20"/>
  <c r="AE73" i="20" s="1"/>
  <c r="BB73" i="20" s="1"/>
  <c r="AY77" i="20" s="1"/>
  <c r="BC77" i="20" s="1"/>
  <c r="AA55" i="20"/>
  <c r="AE55" i="20" s="1"/>
  <c r="BB55" i="20" s="1"/>
  <c r="AY59" i="20" s="1"/>
  <c r="BC59" i="20" s="1"/>
  <c r="BX37" i="20"/>
  <c r="BJ37" i="20" s="1"/>
  <c r="BI41" i="20" s="1"/>
  <c r="BK41" i="20" s="1"/>
  <c r="BV52" i="20"/>
  <c r="BW52" i="20" s="1"/>
  <c r="BR74" i="20"/>
  <c r="BS74" i="20" s="1"/>
  <c r="BT74" i="20" s="1"/>
  <c r="BF74" i="20" s="1"/>
  <c r="BB37" i="20"/>
  <c r="AY41" i="20" s="1"/>
  <c r="BC41" i="20" s="1"/>
  <c r="BQ52" i="20"/>
  <c r="AA35" i="20"/>
  <c r="AE35" i="20" s="1"/>
  <c r="BR33" i="20"/>
  <c r="BS33" i="20" s="1"/>
  <c r="BT33" i="20" s="1"/>
  <c r="BF33" i="20" s="1"/>
  <c r="BE33" i="20" s="1"/>
  <c r="BG33" i="20" s="1"/>
  <c r="BV33" i="20"/>
  <c r="BW33" i="20" s="1"/>
  <c r="BR78" i="20"/>
  <c r="BS78" i="20" s="1"/>
  <c r="BT78" i="20" s="1"/>
  <c r="BF78" i="20" s="1"/>
  <c r="BQ78" i="20"/>
  <c r="BU78" i="20"/>
  <c r="BU33" i="20"/>
  <c r="G40" i="3"/>
  <c r="I40" i="3" s="1"/>
  <c r="H43" i="2" s="1"/>
  <c r="K43" i="2" s="1"/>
  <c r="N43" i="2" s="1"/>
  <c r="BB78" i="20"/>
  <c r="B30" i="3"/>
  <c r="E30" i="3" s="1"/>
  <c r="F30" i="3" s="1"/>
  <c r="H30" i="3" s="1"/>
  <c r="BB74" i="20"/>
  <c r="AA53" i="20"/>
  <c r="AE53" i="20" s="1"/>
  <c r="BB53" i="20" s="1"/>
  <c r="AY53" i="20" s="1"/>
  <c r="BC53" i="20" s="1"/>
  <c r="BU79" i="20"/>
  <c r="BU52" i="20"/>
  <c r="BU74" i="20"/>
  <c r="BB79" i="20"/>
  <c r="BR52" i="20"/>
  <c r="BS52" i="20" s="1"/>
  <c r="BT51" i="20"/>
  <c r="BF51" i="20" s="1"/>
  <c r="BE51" i="20" s="1"/>
  <c r="BG51" i="20" s="1"/>
  <c r="BR79" i="20"/>
  <c r="BS79" i="20" s="1"/>
  <c r="BT79" i="20" s="1"/>
  <c r="BF79" i="20" s="1"/>
  <c r="BV79" i="20"/>
  <c r="BW79" i="20" s="1"/>
  <c r="BX79" i="20" s="1"/>
  <c r="BJ79" i="20" s="1"/>
  <c r="BQ74" i="20"/>
  <c r="BV74" i="20"/>
  <c r="BW74" i="20" s="1"/>
  <c r="BX74" i="20" s="1"/>
  <c r="BJ74" i="20" s="1"/>
  <c r="AA52" i="20"/>
  <c r="AE52" i="20" s="1"/>
  <c r="BB52" i="20" s="1"/>
  <c r="FN262" i="1"/>
  <c r="BX54" i="20"/>
  <c r="BJ54" i="20" s="1"/>
  <c r="BI56" i="20" s="1"/>
  <c r="BK56" i="20" s="1"/>
  <c r="BQ35" i="20"/>
  <c r="BT35" i="20" s="1"/>
  <c r="BF35" i="20" s="1"/>
  <c r="BE35" i="20" s="1"/>
  <c r="BG35" i="20" s="1"/>
  <c r="AA36" i="20"/>
  <c r="AE36" i="20" s="1"/>
  <c r="BB36" i="20" s="1"/>
  <c r="AY38" i="20" s="1"/>
  <c r="BC38" i="20" s="1"/>
  <c r="L41" i="2"/>
  <c r="AC34" i="20"/>
  <c r="BU34" i="20"/>
  <c r="BX34" i="20" s="1"/>
  <c r="BJ34" i="20" s="1"/>
  <c r="BI34" i="20" s="1"/>
  <c r="BK34" i="20" s="1"/>
  <c r="BQ34" i="20"/>
  <c r="FN141" i="1"/>
  <c r="B29" i="3"/>
  <c r="E29" i="3" s="1"/>
  <c r="F29" i="3" s="1"/>
  <c r="H29" i="3" s="1"/>
  <c r="EI264" i="1"/>
  <c r="CB264" i="1"/>
  <c r="CB145" i="1"/>
  <c r="EI144" i="1"/>
  <c r="BV35" i="20"/>
  <c r="BW35" i="20" s="1"/>
  <c r="U50" i="1"/>
  <c r="BB26" i="1" s="1"/>
  <c r="BB27" i="1" s="1"/>
  <c r="BX55" i="20"/>
  <c r="BJ55" i="20" s="1"/>
  <c r="BI59" i="20" s="1"/>
  <c r="BK59" i="20" s="1"/>
  <c r="AA71" i="20"/>
  <c r="AE71" i="20" s="1"/>
  <c r="BV56" i="20"/>
  <c r="BW56" i="20" s="1"/>
  <c r="BQ56" i="20"/>
  <c r="AC56" i="20"/>
  <c r="BU56" i="20"/>
  <c r="BR56" i="20"/>
  <c r="BS56" i="20" s="1"/>
  <c r="BR34" i="20"/>
  <c r="BS34" i="20" s="1"/>
  <c r="F34" i="3"/>
  <c r="H34" i="3" s="1"/>
  <c r="G37" i="2" s="1"/>
  <c r="J37" i="2" s="1"/>
  <c r="M37" i="2" s="1"/>
  <c r="O37" i="2" s="1"/>
  <c r="J42" i="2"/>
  <c r="M42" i="2" s="1"/>
  <c r="BE57" i="20"/>
  <c r="BG57" i="20" s="1"/>
  <c r="BX72" i="20"/>
  <c r="BJ72" i="20" s="1"/>
  <c r="BI74" i="20" s="1"/>
  <c r="BK74" i="20" s="1"/>
  <c r="G37" i="3"/>
  <c r="I37" i="3" s="1"/>
  <c r="H40" i="2" s="1"/>
  <c r="BT73" i="20"/>
  <c r="BF73" i="20" s="1"/>
  <c r="BE77" i="20" s="1"/>
  <c r="BG77" i="20" s="1"/>
  <c r="BB69" i="20"/>
  <c r="AY69" i="20" s="1"/>
  <c r="BC69" i="20" s="1"/>
  <c r="BX71" i="20"/>
  <c r="BJ71" i="20" s="1"/>
  <c r="BI71" i="20" s="1"/>
  <c r="BK71" i="20" s="1"/>
  <c r="G35" i="3"/>
  <c r="I35" i="3" s="1"/>
  <c r="H38" i="2" s="1"/>
  <c r="J38" i="2" s="1"/>
  <c r="M38" i="2" s="1"/>
  <c r="O38" i="2" s="1"/>
  <c r="F37" i="3"/>
  <c r="H37" i="3" s="1"/>
  <c r="G40" i="2" s="1"/>
  <c r="BX36" i="20"/>
  <c r="BJ36" i="20" s="1"/>
  <c r="BI38" i="20" s="1"/>
  <c r="BK38" i="20" s="1"/>
  <c r="BT54" i="20"/>
  <c r="BF54" i="20" s="1"/>
  <c r="BE56" i="20" s="1"/>
  <c r="BG56" i="20" s="1"/>
  <c r="BT36" i="20"/>
  <c r="BF36" i="20" s="1"/>
  <c r="BE38" i="20" s="1"/>
  <c r="BG38" i="20" s="1"/>
  <c r="CE81" i="20"/>
  <c r="AK72" i="20" s="1"/>
  <c r="BI55" i="20"/>
  <c r="BK55" i="20" s="1"/>
  <c r="BQ58" i="20"/>
  <c r="CD63" i="20"/>
  <c r="BU41" i="20"/>
  <c r="F32" i="3"/>
  <c r="H32" i="3" s="1"/>
  <c r="G35" i="2" s="1"/>
  <c r="BI57" i="20"/>
  <c r="BK57" i="20" s="1"/>
  <c r="CE63" i="20"/>
  <c r="AL59" i="20" s="1"/>
  <c r="AC58" i="20"/>
  <c r="BB58" i="20"/>
  <c r="AG58" i="20" s="1"/>
  <c r="AY56" i="20"/>
  <c r="BC56" i="20" s="1"/>
  <c r="CD81" i="20"/>
  <c r="BQ41" i="20"/>
  <c r="BR41" i="20"/>
  <c r="BS41" i="20" s="1"/>
  <c r="BT41" i="20" s="1"/>
  <c r="BF41" i="20" s="1"/>
  <c r="BR58" i="20"/>
  <c r="L44" i="2"/>
  <c r="AC35" i="20"/>
  <c r="BU35" i="20"/>
  <c r="BR61" i="20"/>
  <c r="BS61" i="20" s="1"/>
  <c r="BT61" i="20" s="1"/>
  <c r="BF61" i="20" s="1"/>
  <c r="BQ61" i="20"/>
  <c r="AC61" i="20"/>
  <c r="BB61" i="20"/>
  <c r="BV61" i="20"/>
  <c r="BW61" i="20" s="1"/>
  <c r="BX61" i="20" s="1"/>
  <c r="CE45" i="20"/>
  <c r="AJ38" i="20" s="1"/>
  <c r="AC41" i="20"/>
  <c r="BV41" i="20"/>
  <c r="BW41" i="20" s="1"/>
  <c r="BX41" i="20" s="1"/>
  <c r="BJ41" i="20" s="1"/>
  <c r="BU58" i="20"/>
  <c r="AM58" i="20" s="1"/>
  <c r="AA38" i="20"/>
  <c r="BT38" i="20"/>
  <c r="BE55" i="20"/>
  <c r="BG55" i="20" s="1"/>
  <c r="AY55" i="20"/>
  <c r="BC55" i="20" s="1"/>
  <c r="BE54" i="20"/>
  <c r="BG54" i="20" s="1"/>
  <c r="AY57" i="20"/>
  <c r="BC57" i="20" s="1"/>
  <c r="BE58" i="20"/>
  <c r="BG58" i="20" s="1"/>
  <c r="BI64" i="20"/>
  <c r="BE75" i="20"/>
  <c r="BG75" i="20" s="1"/>
  <c r="BI83" i="20"/>
  <c r="BI72" i="20"/>
  <c r="BK72" i="20" s="1"/>
  <c r="AY72" i="20"/>
  <c r="BC72" i="20" s="1"/>
  <c r="AY82" i="20"/>
  <c r="BC82" i="20" s="1"/>
  <c r="BE82" i="20"/>
  <c r="AY79" i="20"/>
  <c r="BC79" i="20" s="1"/>
  <c r="BI76" i="20"/>
  <c r="BK76" i="20" s="1"/>
  <c r="AY76" i="20"/>
  <c r="BC76" i="20" s="1"/>
  <c r="BE78" i="20"/>
  <c r="BG78" i="20" s="1"/>
  <c r="BI82" i="20"/>
  <c r="BI81" i="20"/>
  <c r="BI84" i="20"/>
  <c r="BI80" i="20"/>
  <c r="BK80" i="20" s="1"/>
  <c r="BE76" i="20"/>
  <c r="BG76" i="20" s="1"/>
  <c r="BI85" i="20"/>
  <c r="BE79" i="20"/>
  <c r="BG79" i="20" s="1"/>
  <c r="BE84" i="20"/>
  <c r="AY75" i="20"/>
  <c r="BC75" i="20" s="1"/>
  <c r="BE72" i="20"/>
  <c r="BG72" i="20" s="1"/>
  <c r="BI73" i="20"/>
  <c r="BK73" i="20" s="1"/>
  <c r="BE81" i="20"/>
  <c r="BI78" i="20"/>
  <c r="BK78" i="20" s="1"/>
  <c r="AY80" i="20"/>
  <c r="BC80" i="20" s="1"/>
  <c r="BI79" i="20"/>
  <c r="BK79" i="20" s="1"/>
  <c r="BE83" i="20"/>
  <c r="BE73" i="20"/>
  <c r="BG73" i="20" s="1"/>
  <c r="BE80" i="20"/>
  <c r="BG80" i="20" s="1"/>
  <c r="AY83" i="20"/>
  <c r="BC83" i="20" s="1"/>
  <c r="AY73" i="20"/>
  <c r="BC73" i="20" s="1"/>
  <c r="BE74" i="20"/>
  <c r="BG74" i="20" s="1"/>
  <c r="AY84" i="20"/>
  <c r="BC84" i="20" s="1"/>
  <c r="AY81" i="20"/>
  <c r="BC81" i="20" s="1"/>
  <c r="AY78" i="20"/>
  <c r="BC78" i="20" s="1"/>
  <c r="BI75" i="20"/>
  <c r="BK75" i="20" s="1"/>
  <c r="AY63" i="20"/>
  <c r="BC63" i="20" s="1"/>
  <c r="AY54" i="20"/>
  <c r="BC54" i="20" s="1"/>
  <c r="BE61" i="20"/>
  <c r="AE72" i="20"/>
  <c r="BB72" i="20" s="1"/>
  <c r="CD45" i="20"/>
  <c r="AY61" i="20"/>
  <c r="BC61" i="20" s="1"/>
  <c r="AI55" i="20"/>
  <c r="BI58" i="20"/>
  <c r="BK58" i="20" s="1"/>
  <c r="AY60" i="20"/>
  <c r="BC60" i="20" s="1"/>
  <c r="BI61" i="20"/>
  <c r="BK61" i="20" s="1"/>
  <c r="AY46" i="20"/>
  <c r="AY37" i="20"/>
  <c r="BC37" i="20" s="1"/>
  <c r="AY39" i="20"/>
  <c r="BC39" i="20" s="1"/>
  <c r="AY36" i="20"/>
  <c r="BC36" i="20" s="1"/>
  <c r="BE45" i="20"/>
  <c r="AY45" i="20"/>
  <c r="AY43" i="20"/>
  <c r="BC43" i="20" s="1"/>
  <c r="BI45" i="20"/>
  <c r="BK45" i="20" s="1"/>
  <c r="AY42" i="20"/>
  <c r="BC42" i="20" s="1"/>
  <c r="BE43" i="20"/>
  <c r="BE39" i="20"/>
  <c r="BG39" i="20" s="1"/>
  <c r="BI40" i="20"/>
  <c r="BK40" i="20" s="1"/>
  <c r="BI36" i="20"/>
  <c r="BK36" i="20" s="1"/>
  <c r="BI42" i="20"/>
  <c r="BK42" i="20" s="1"/>
  <c r="BI43" i="20"/>
  <c r="BK43" i="20" s="1"/>
  <c r="BI37" i="20"/>
  <c r="BK37" i="20" s="1"/>
  <c r="BI39" i="20"/>
  <c r="BK39" i="20" s="1"/>
  <c r="AY40" i="20"/>
  <c r="BC40" i="20" s="1"/>
  <c r="BE36" i="20"/>
  <c r="BG36" i="20" s="1"/>
  <c r="AY65" i="20"/>
  <c r="BC65" i="20" s="1"/>
  <c r="BE40" i="20"/>
  <c r="BG40" i="20" s="1"/>
  <c r="BE47" i="20"/>
  <c r="BE37" i="20"/>
  <c r="BG37" i="20" s="1"/>
  <c r="BE46" i="20"/>
  <c r="AY47" i="20"/>
  <c r="BI46" i="20"/>
  <c r="BK46" i="20" s="1"/>
  <c r="BE42" i="20"/>
  <c r="BG42" i="20" s="1"/>
  <c r="BT55" i="20"/>
  <c r="BV77" i="20"/>
  <c r="BW77" i="20" s="1"/>
  <c r="BX77" i="20" s="1"/>
  <c r="BJ77" i="20" s="1"/>
  <c r="BB77" i="20"/>
  <c r="AC77" i="20"/>
  <c r="BU77" i="20"/>
  <c r="BR77" i="20"/>
  <c r="BS77" i="20" s="1"/>
  <c r="BT77" i="20" s="1"/>
  <c r="BF77" i="20" s="1"/>
  <c r="BV70" i="20"/>
  <c r="BR70" i="20"/>
  <c r="AC70" i="20"/>
  <c r="BB70" i="20" s="1"/>
  <c r="BQ70" i="20"/>
  <c r="BU70" i="20"/>
  <c r="BS71" i="20"/>
  <c r="BX73" i="20"/>
  <c r="BX53" i="20"/>
  <c r="AY58" i="20"/>
  <c r="BC58" i="20" s="1"/>
  <c r="BX51" i="20"/>
  <c r="BS37" i="20"/>
  <c r="BT53" i="20"/>
  <c r="BU57" i="20"/>
  <c r="AM57" i="20" s="1"/>
  <c r="BV57" i="20"/>
  <c r="BQ57" i="20"/>
  <c r="AI57" i="20" s="1"/>
  <c r="BR57" i="20"/>
  <c r="AC57" i="20"/>
  <c r="BB57" i="20"/>
  <c r="BW38" i="20"/>
  <c r="BE60" i="20"/>
  <c r="BG60" i="20" s="1"/>
  <c r="AY64" i="20"/>
  <c r="BC64" i="20" s="1"/>
  <c r="BI60" i="20"/>
  <c r="BK60" i="20" s="1"/>
  <c r="BI54" i="20"/>
  <c r="BK54" i="20" s="1"/>
  <c r="BV10" i="1"/>
  <c r="AI38" i="7"/>
  <c r="AJ38" i="7" s="1"/>
  <c r="AK38" i="7" s="1"/>
  <c r="AP29" i="7" s="1"/>
  <c r="AJ29" i="7" s="1"/>
  <c r="AZ6" i="1" s="1"/>
  <c r="G38" i="7"/>
  <c r="H24" i="18" s="1"/>
  <c r="AO24" i="18" s="1"/>
  <c r="AP24" i="18" s="1"/>
  <c r="BB6" i="1"/>
  <c r="AA7" i="1" s="1"/>
  <c r="AJ48" i="7"/>
  <c r="M7" i="3" s="1"/>
  <c r="BN3" i="1"/>
  <c r="T24" i="7"/>
  <c r="M35" i="7"/>
  <c r="L35" i="7"/>
  <c r="AG37" i="7"/>
  <c r="AR28" i="7" s="1"/>
  <c r="AL28" i="7" s="1"/>
  <c r="BU9" i="1"/>
  <c r="AI47" i="7"/>
  <c r="L6" i="3" s="1"/>
  <c r="BU10" i="1"/>
  <c r="AH37" i="7"/>
  <c r="AJ37" i="7" s="1"/>
  <c r="AK37" i="7" s="1"/>
  <c r="AP28" i="7" s="1"/>
  <c r="AJ28" i="7" s="1"/>
  <c r="AZ5" i="1" s="1"/>
  <c r="BB5" i="1"/>
  <c r="AA9" i="1" s="1"/>
  <c r="BN4" i="1"/>
  <c r="T25" i="7"/>
  <c r="AI35" i="7"/>
  <c r="BB3" i="1"/>
  <c r="AA8" i="1" s="1"/>
  <c r="BS10" i="1"/>
  <c r="G35" i="7"/>
  <c r="H21" i="18" s="1"/>
  <c r="AJ45" i="7"/>
  <c r="M4" i="3" s="1"/>
  <c r="AH35" i="7"/>
  <c r="AE22" i="7"/>
  <c r="F12" i="7" s="1"/>
  <c r="U28" i="7"/>
  <c r="AQ30" i="7" s="1"/>
  <c r="AK30" i="7" s="1"/>
  <c r="BM7" i="1"/>
  <c r="AR38" i="18"/>
  <c r="AS38" i="18" s="1"/>
  <c r="AE8" i="1"/>
  <c r="AE7" i="1"/>
  <c r="AG47" i="7"/>
  <c r="J6" i="3" s="1"/>
  <c r="D37" i="7"/>
  <c r="E23" i="18" s="1"/>
  <c r="BU7" i="1"/>
  <c r="AL37" i="7"/>
  <c r="AW5" i="1"/>
  <c r="V9" i="1" s="1"/>
  <c r="AI8" i="1"/>
  <c r="AI7" i="1"/>
  <c r="AI34" i="18"/>
  <c r="AN20" i="7"/>
  <c r="AQ20" i="7" s="1"/>
  <c r="AR20" i="7" s="1"/>
  <c r="F28" i="7" s="1"/>
  <c r="AI30" i="7" s="1"/>
  <c r="AO30" i="7"/>
  <c r="AH30" i="7" s="1"/>
  <c r="F21" i="18"/>
  <c r="AH48" i="18"/>
  <c r="AH39" i="18"/>
  <c r="C33" i="18" s="1"/>
  <c r="AI50" i="18"/>
  <c r="V7" i="1"/>
  <c r="V8" i="1"/>
  <c r="BN6" i="1"/>
  <c r="T27" i="7"/>
  <c r="AR52" i="18"/>
  <c r="J36" i="7"/>
  <c r="K22" i="18" s="1"/>
  <c r="BK4" i="1"/>
  <c r="AJ7" i="1"/>
  <c r="AX10" i="1" s="1"/>
  <c r="T26" i="7"/>
  <c r="BN5" i="1"/>
  <c r="AH47" i="7"/>
  <c r="K6" i="3" s="1"/>
  <c r="BU8" i="1"/>
  <c r="E37" i="7"/>
  <c r="F23" i="18" s="1"/>
  <c r="AX5" i="1"/>
  <c r="W9" i="1" s="1"/>
  <c r="BU13" i="1"/>
  <c r="AT38" i="18"/>
  <c r="AT49" i="18"/>
  <c r="EB23" i="1"/>
  <c r="EI24" i="1"/>
  <c r="AL60" i="20" l="1"/>
  <c r="AI58" i="20"/>
  <c r="AK59" i="20"/>
  <c r="AJ55" i="20"/>
  <c r="AJ59" i="20"/>
  <c r="AI59" i="20"/>
  <c r="AG59" i="20"/>
  <c r="BS58" i="20"/>
  <c r="AJ58" i="20"/>
  <c r="AG57" i="20"/>
  <c r="BS57" i="20"/>
  <c r="AJ57" i="20"/>
  <c r="BW57" i="20"/>
  <c r="AN57" i="20"/>
  <c r="BS9" i="1"/>
  <c r="AY78" i="1"/>
  <c r="R61" i="1" s="1"/>
  <c r="AY100" i="1"/>
  <c r="AG35" i="7"/>
  <c r="AR26" i="7" s="1"/>
  <c r="AL26" i="7" s="1"/>
  <c r="F35" i="7"/>
  <c r="BB33" i="20"/>
  <c r="AY33" i="20" s="1"/>
  <c r="BC33" i="20" s="1"/>
  <c r="BP7" i="1"/>
  <c r="A31" i="3"/>
  <c r="D31" i="3" s="1"/>
  <c r="AI45" i="7"/>
  <c r="L4" i="3" s="1"/>
  <c r="BT69" i="20"/>
  <c r="BF69" i="20" s="1"/>
  <c r="BE69" i="20" s="1"/>
  <c r="BG69" i="20" s="1"/>
  <c r="P43" i="2"/>
  <c r="O42" i="2"/>
  <c r="U70" i="1"/>
  <c r="BB30" i="1" s="1"/>
  <c r="BB31" i="1" s="1"/>
  <c r="BA31" i="1" s="1"/>
  <c r="V57" i="1" s="1"/>
  <c r="AN14" i="1"/>
  <c r="AO14" i="1" s="1"/>
  <c r="AP14" i="1" s="1"/>
  <c r="L42" i="2"/>
  <c r="N42" i="2"/>
  <c r="P42" i="2" s="1"/>
  <c r="BA23" i="1"/>
  <c r="V17" i="1" s="1"/>
  <c r="BB34" i="20"/>
  <c r="AY34" i="20" s="1"/>
  <c r="BC34" i="20" s="1"/>
  <c r="BA27" i="1"/>
  <c r="V37" i="1" s="1"/>
  <c r="BB56" i="20"/>
  <c r="AY62" i="20" s="1"/>
  <c r="BC62" i="20" s="1"/>
  <c r="Y9" i="1"/>
  <c r="AC34" i="1"/>
  <c r="BA10" i="1"/>
  <c r="O3" i="3" s="1"/>
  <c r="DN253" i="1"/>
  <c r="J36" i="2"/>
  <c r="M36" i="2" s="1"/>
  <c r="O36" i="2" s="1"/>
  <c r="DG133" i="1"/>
  <c r="DI185" i="1" s="1"/>
  <c r="BA12" i="1"/>
  <c r="O5" i="3" s="1"/>
  <c r="AJ33" i="20"/>
  <c r="BX52" i="20"/>
  <c r="AP52" i="20" s="1"/>
  <c r="BA11" i="1"/>
  <c r="O4" i="3" s="1"/>
  <c r="AN16" i="1"/>
  <c r="AO16" i="1" s="1"/>
  <c r="AM52" i="20"/>
  <c r="K39" i="2"/>
  <c r="AI37" i="20"/>
  <c r="BB51" i="20"/>
  <c r="AY51" i="20" s="1"/>
  <c r="BC51" i="20" s="1"/>
  <c r="BX33" i="20"/>
  <c r="BJ33" i="20" s="1"/>
  <c r="BI33" i="20" s="1"/>
  <c r="BK33" i="20" s="1"/>
  <c r="CD358" i="1"/>
  <c r="CD354" i="1"/>
  <c r="CD350" i="1"/>
  <c r="CD346" i="1"/>
  <c r="CD342" i="1"/>
  <c r="CD338" i="1"/>
  <c r="CD334" i="1"/>
  <c r="CD330" i="1"/>
  <c r="CD326" i="1"/>
  <c r="CD322" i="1"/>
  <c r="CD318" i="1"/>
  <c r="CD314" i="1"/>
  <c r="CD310" i="1"/>
  <c r="CD306" i="1"/>
  <c r="CD302" i="1"/>
  <c r="CD298" i="1"/>
  <c r="CD294" i="1"/>
  <c r="CD290" i="1"/>
  <c r="CD286" i="1"/>
  <c r="CD282" i="1"/>
  <c r="CD278" i="1"/>
  <c r="CD274" i="1"/>
  <c r="CD270" i="1"/>
  <c r="CD266" i="1"/>
  <c r="CD262" i="1"/>
  <c r="CE262" i="1" s="1"/>
  <c r="CD239" i="1"/>
  <c r="CD235" i="1"/>
  <c r="CD231" i="1"/>
  <c r="CD227" i="1"/>
  <c r="CD223" i="1"/>
  <c r="CD219" i="1"/>
  <c r="CD357" i="1"/>
  <c r="CD353" i="1"/>
  <c r="CD349" i="1"/>
  <c r="CD345" i="1"/>
  <c r="CD341" i="1"/>
  <c r="CD337" i="1"/>
  <c r="CD333" i="1"/>
  <c r="CD329" i="1"/>
  <c r="CD325" i="1"/>
  <c r="CD321" i="1"/>
  <c r="CD317" i="1"/>
  <c r="CD313" i="1"/>
  <c r="CD309" i="1"/>
  <c r="CD305" i="1"/>
  <c r="CD301" i="1"/>
  <c r="CD297" i="1"/>
  <c r="CD293" i="1"/>
  <c r="CD289" i="1"/>
  <c r="CD285" i="1"/>
  <c r="CD281" i="1"/>
  <c r="CD277" i="1"/>
  <c r="CD273" i="1"/>
  <c r="CD269" i="1"/>
  <c r="CD265" i="1"/>
  <c r="CD261" i="1"/>
  <c r="CE261" i="1" s="1"/>
  <c r="CD238" i="1"/>
  <c r="CD234" i="1"/>
  <c r="CD230" i="1"/>
  <c r="CD226" i="1"/>
  <c r="CD222" i="1"/>
  <c r="CD218" i="1"/>
  <c r="CD360" i="1"/>
  <c r="CD356" i="1"/>
  <c r="CD352" i="1"/>
  <c r="CD348" i="1"/>
  <c r="CD344" i="1"/>
  <c r="CD340" i="1"/>
  <c r="CD336" i="1"/>
  <c r="CD332" i="1"/>
  <c r="CD328" i="1"/>
  <c r="CD324" i="1"/>
  <c r="CD320" i="1"/>
  <c r="CD316" i="1"/>
  <c r="CD312" i="1"/>
  <c r="CD308" i="1"/>
  <c r="CD304" i="1"/>
  <c r="CD300" i="1"/>
  <c r="CD296" i="1"/>
  <c r="CD292" i="1"/>
  <c r="CD288" i="1"/>
  <c r="CD284" i="1"/>
  <c r="CD280" i="1"/>
  <c r="CD276" i="1"/>
  <c r="CD272" i="1"/>
  <c r="CD268" i="1"/>
  <c r="CD264" i="1"/>
  <c r="CE264" i="1" s="1"/>
  <c r="CD237" i="1"/>
  <c r="CD233" i="1"/>
  <c r="CD229" i="1"/>
  <c r="CD225" i="1"/>
  <c r="CD221" i="1"/>
  <c r="CD217" i="1"/>
  <c r="CD347" i="1"/>
  <c r="CD331" i="1"/>
  <c r="CD315" i="1"/>
  <c r="CD299" i="1"/>
  <c r="CD283" i="1"/>
  <c r="CD267" i="1"/>
  <c r="CD232" i="1"/>
  <c r="CD216" i="1"/>
  <c r="CD212" i="1"/>
  <c r="CD208" i="1"/>
  <c r="CD204" i="1"/>
  <c r="CD200" i="1"/>
  <c r="CD196" i="1"/>
  <c r="CD192" i="1"/>
  <c r="CD188" i="1"/>
  <c r="CD184" i="1"/>
  <c r="CD180" i="1"/>
  <c r="CD176" i="1"/>
  <c r="CD172" i="1"/>
  <c r="CD168" i="1"/>
  <c r="CD164" i="1"/>
  <c r="CD160" i="1"/>
  <c r="CD156" i="1"/>
  <c r="CD152" i="1"/>
  <c r="CD148" i="1"/>
  <c r="CD144" i="1"/>
  <c r="CE144" i="1" s="1"/>
  <c r="CD323" i="1"/>
  <c r="CD224" i="1"/>
  <c r="CD206" i="1"/>
  <c r="CD198" i="1"/>
  <c r="CD190" i="1"/>
  <c r="CD182" i="1"/>
  <c r="CD174" i="1"/>
  <c r="CD166" i="1"/>
  <c r="CD154" i="1"/>
  <c r="CD146" i="1"/>
  <c r="CD335" i="1"/>
  <c r="CD287" i="1"/>
  <c r="CD213" i="1"/>
  <c r="CD205" i="1"/>
  <c r="CD193" i="1"/>
  <c r="CD185" i="1"/>
  <c r="CD173" i="1"/>
  <c r="CD165" i="1"/>
  <c r="CD149" i="1"/>
  <c r="CD351" i="1"/>
  <c r="CD303" i="1"/>
  <c r="CD271" i="1"/>
  <c r="CD220" i="1"/>
  <c r="CD209" i="1"/>
  <c r="CD201" i="1"/>
  <c r="CD189" i="1"/>
  <c r="CD181" i="1"/>
  <c r="CD169" i="1"/>
  <c r="CD161" i="1"/>
  <c r="CD145" i="1"/>
  <c r="CE145" i="1" s="1"/>
  <c r="CD359" i="1"/>
  <c r="CD343" i="1"/>
  <c r="CD327" i="1"/>
  <c r="CD311" i="1"/>
  <c r="CD295" i="1"/>
  <c r="CD279" i="1"/>
  <c r="CD263" i="1"/>
  <c r="CE263" i="1" s="1"/>
  <c r="CD228" i="1"/>
  <c r="CD215" i="1"/>
  <c r="CD211" i="1"/>
  <c r="CD207" i="1"/>
  <c r="CD203" i="1"/>
  <c r="CD199" i="1"/>
  <c r="CD195" i="1"/>
  <c r="CD191" i="1"/>
  <c r="CD187" i="1"/>
  <c r="CD183" i="1"/>
  <c r="CD179" i="1"/>
  <c r="CD175" i="1"/>
  <c r="CD171" i="1"/>
  <c r="CD167" i="1"/>
  <c r="CD163" i="1"/>
  <c r="CD159" i="1"/>
  <c r="CD155" i="1"/>
  <c r="CD151" i="1"/>
  <c r="CD147" i="1"/>
  <c r="CD143" i="1"/>
  <c r="CE143" i="1" s="1"/>
  <c r="CD140" i="1"/>
  <c r="CE140" i="1" s="1"/>
  <c r="CD355" i="1"/>
  <c r="CD339" i="1"/>
  <c r="CD291" i="1"/>
  <c r="CD275" i="1"/>
  <c r="CD307" i="1"/>
  <c r="CD240" i="1"/>
  <c r="CD214" i="1"/>
  <c r="CD210" i="1"/>
  <c r="CD202" i="1"/>
  <c r="CD194" i="1"/>
  <c r="CD186" i="1"/>
  <c r="CD178" i="1"/>
  <c r="CD170" i="1"/>
  <c r="CD162" i="1"/>
  <c r="CD158" i="1"/>
  <c r="CD150" i="1"/>
  <c r="CD142" i="1"/>
  <c r="CE142" i="1" s="1"/>
  <c r="CD260" i="1"/>
  <c r="CE260" i="1" s="1"/>
  <c r="CD319" i="1"/>
  <c r="CD236" i="1"/>
  <c r="CD197" i="1"/>
  <c r="CD177" i="1"/>
  <c r="CD157" i="1"/>
  <c r="CD153" i="1"/>
  <c r="CD141" i="1"/>
  <c r="CE141" i="1" s="1"/>
  <c r="DI262" i="1"/>
  <c r="DJ262" i="1" s="1"/>
  <c r="DI270" i="1"/>
  <c r="DI278" i="1"/>
  <c r="DI286" i="1"/>
  <c r="DI294" i="1"/>
  <c r="DI302" i="1"/>
  <c r="DI310" i="1"/>
  <c r="DI318" i="1"/>
  <c r="DI326" i="1"/>
  <c r="DI334" i="1"/>
  <c r="DI342" i="1"/>
  <c r="DI350" i="1"/>
  <c r="DI358" i="1"/>
  <c r="DI263" i="1"/>
  <c r="DI271" i="1"/>
  <c r="DI279" i="1"/>
  <c r="DI287" i="1"/>
  <c r="DI295" i="1"/>
  <c r="DI303" i="1"/>
  <c r="DI311" i="1"/>
  <c r="DI319" i="1"/>
  <c r="DI327" i="1"/>
  <c r="DI335" i="1"/>
  <c r="DI343" i="1"/>
  <c r="DI351" i="1"/>
  <c r="DI359" i="1"/>
  <c r="DI264" i="1"/>
  <c r="DI272" i="1"/>
  <c r="DI280" i="1"/>
  <c r="DI288" i="1"/>
  <c r="DI296" i="1"/>
  <c r="DI304" i="1"/>
  <c r="DI312" i="1"/>
  <c r="DI320" i="1"/>
  <c r="DI328" i="1"/>
  <c r="DI336" i="1"/>
  <c r="DI344" i="1"/>
  <c r="DI352" i="1"/>
  <c r="DI360" i="1"/>
  <c r="DI265" i="1"/>
  <c r="DI273" i="1"/>
  <c r="DI281" i="1"/>
  <c r="DI289" i="1"/>
  <c r="DI297" i="1"/>
  <c r="DI305" i="1"/>
  <c r="DI313" i="1"/>
  <c r="DI321" i="1"/>
  <c r="DI329" i="1"/>
  <c r="DI337" i="1"/>
  <c r="DI345" i="1"/>
  <c r="DI353" i="1"/>
  <c r="DI260" i="1"/>
  <c r="DJ260" i="1" s="1"/>
  <c r="DI267" i="1"/>
  <c r="DI275" i="1"/>
  <c r="DI283" i="1"/>
  <c r="DI291" i="1"/>
  <c r="DI299" i="1"/>
  <c r="DI307" i="1"/>
  <c r="DI315" i="1"/>
  <c r="DI323" i="1"/>
  <c r="DI331" i="1"/>
  <c r="DI339" i="1"/>
  <c r="DI347" i="1"/>
  <c r="DI355" i="1"/>
  <c r="DI268" i="1"/>
  <c r="DI276" i="1"/>
  <c r="DI284" i="1"/>
  <c r="DI292" i="1"/>
  <c r="DI300" i="1"/>
  <c r="DI308" i="1"/>
  <c r="DI316" i="1"/>
  <c r="DI324" i="1"/>
  <c r="DI332" i="1"/>
  <c r="DI340" i="1"/>
  <c r="DI348" i="1"/>
  <c r="DI356" i="1"/>
  <c r="DI285" i="1"/>
  <c r="DI317" i="1"/>
  <c r="DI349" i="1"/>
  <c r="DI306" i="1"/>
  <c r="DI338" i="1"/>
  <c r="DI277" i="1"/>
  <c r="DI290" i="1"/>
  <c r="DI322" i="1"/>
  <c r="DI354" i="1"/>
  <c r="DI341" i="1"/>
  <c r="DI314" i="1"/>
  <c r="DI261" i="1"/>
  <c r="DJ261" i="1" s="1"/>
  <c r="DI293" i="1"/>
  <c r="DI325" i="1"/>
  <c r="DI357" i="1"/>
  <c r="DI269" i="1"/>
  <c r="DI301" i="1"/>
  <c r="DI333" i="1"/>
  <c r="DI266" i="1"/>
  <c r="DI298" i="1"/>
  <c r="DI330" i="1"/>
  <c r="DI274" i="1"/>
  <c r="DI309" i="1"/>
  <c r="DI282" i="1"/>
  <c r="DI346" i="1"/>
  <c r="G30" i="3"/>
  <c r="I30" i="3" s="1"/>
  <c r="AT11" i="1" s="1"/>
  <c r="D44" i="3" s="1"/>
  <c r="BB35" i="20"/>
  <c r="AY35" i="20" s="1"/>
  <c r="BC35" i="20" s="1"/>
  <c r="AJ37" i="20"/>
  <c r="FN263" i="1"/>
  <c r="FN264" i="1" s="1"/>
  <c r="AJ34" i="20"/>
  <c r="AG36" i="20"/>
  <c r="J43" i="2"/>
  <c r="M43" i="2" s="1"/>
  <c r="O43" i="2" s="1"/>
  <c r="AJ36" i="20"/>
  <c r="FG262" i="1"/>
  <c r="FN21" i="1"/>
  <c r="FN22" i="1" s="1"/>
  <c r="G29" i="3"/>
  <c r="I29" i="3" s="1"/>
  <c r="H32" i="2" s="1"/>
  <c r="AL36" i="20"/>
  <c r="L43" i="2"/>
  <c r="BT34" i="20"/>
  <c r="BF34" i="20" s="1"/>
  <c r="BE34" i="20" s="1"/>
  <c r="BG34" i="20" s="1"/>
  <c r="BH33" i="20" s="1"/>
  <c r="BT56" i="20"/>
  <c r="BF56" i="20" s="1"/>
  <c r="BE62" i="20" s="1"/>
  <c r="BG62" i="20" s="1"/>
  <c r="FN142" i="1"/>
  <c r="DG142" i="1"/>
  <c r="AI69" i="20"/>
  <c r="AL33" i="20"/>
  <c r="AK35" i="20"/>
  <c r="BB71" i="20"/>
  <c r="AY71" i="20" s="1"/>
  <c r="BC71" i="20" s="1"/>
  <c r="AI70" i="20"/>
  <c r="AI35" i="20"/>
  <c r="DG263" i="1"/>
  <c r="CZ262" i="1"/>
  <c r="CB265" i="1"/>
  <c r="EI265" i="1"/>
  <c r="EI145" i="1"/>
  <c r="CB146" i="1"/>
  <c r="AI56" i="20"/>
  <c r="AJ71" i="20"/>
  <c r="AK53" i="20"/>
  <c r="AL73" i="20"/>
  <c r="AI72" i="20"/>
  <c r="AG34" i="20"/>
  <c r="AL72" i="20"/>
  <c r="AI51" i="20"/>
  <c r="AN38" i="20"/>
  <c r="AG53" i="20"/>
  <c r="AJ35" i="20"/>
  <c r="BX35" i="20"/>
  <c r="BJ35" i="20" s="1"/>
  <c r="BI35" i="20" s="1"/>
  <c r="BK35" i="20" s="1"/>
  <c r="AI53" i="20"/>
  <c r="K37" i="2"/>
  <c r="N37" i="2" s="1"/>
  <c r="P37" i="2" s="1"/>
  <c r="AJ54" i="20"/>
  <c r="AK73" i="20"/>
  <c r="AI54" i="20"/>
  <c r="AL51" i="20"/>
  <c r="AL69" i="20"/>
  <c r="AG55" i="20"/>
  <c r="AJ69" i="20"/>
  <c r="AM73" i="20"/>
  <c r="BX56" i="20"/>
  <c r="BJ56" i="20" s="1"/>
  <c r="BI62" i="20" s="1"/>
  <c r="BK62" i="20" s="1"/>
  <c r="AK36" i="20"/>
  <c r="K38" i="2"/>
  <c r="L38" i="2" s="1"/>
  <c r="K40" i="2"/>
  <c r="N40" i="2" s="1"/>
  <c r="P40" i="2" s="1"/>
  <c r="AM72" i="20"/>
  <c r="J40" i="2"/>
  <c r="M40" i="2" s="1"/>
  <c r="O40" i="2" s="1"/>
  <c r="AM38" i="20"/>
  <c r="AO53" i="20"/>
  <c r="AO33" i="20"/>
  <c r="AG73" i="20"/>
  <c r="AM70" i="20"/>
  <c r="AJ56" i="20"/>
  <c r="AK51" i="20"/>
  <c r="AK69" i="20"/>
  <c r="AJ53" i="20"/>
  <c r="AG54" i="20"/>
  <c r="AG69" i="20"/>
  <c r="AO51" i="20"/>
  <c r="AO73" i="20"/>
  <c r="AK55" i="20"/>
  <c r="AJ51" i="20"/>
  <c r="AL54" i="20"/>
  <c r="AI73" i="20"/>
  <c r="AI34" i="20"/>
  <c r="AI38" i="20"/>
  <c r="K35" i="2"/>
  <c r="J35" i="2"/>
  <c r="M35" i="2" s="1"/>
  <c r="O35" i="2" s="1"/>
  <c r="AN73" i="20"/>
  <c r="AK54" i="20"/>
  <c r="AK56" i="20"/>
  <c r="AJ72" i="20"/>
  <c r="AJ73" i="20"/>
  <c r="AK38" i="20"/>
  <c r="AI52" i="20"/>
  <c r="AI71" i="20"/>
  <c r="AI33" i="20"/>
  <c r="AE38" i="20"/>
  <c r="BB38" i="20" s="1"/>
  <c r="AK34" i="20"/>
  <c r="AK33" i="20"/>
  <c r="AL35" i="20"/>
  <c r="AI36" i="20"/>
  <c r="AJ52" i="20"/>
  <c r="AG37" i="20"/>
  <c r="AY70" i="20"/>
  <c r="BC70" i="20" s="1"/>
  <c r="AG70" i="20"/>
  <c r="AG72" i="20"/>
  <c r="AY74" i="20"/>
  <c r="BC74" i="20" s="1"/>
  <c r="BJ51" i="20"/>
  <c r="BI51" i="20" s="1"/>
  <c r="BK51" i="20" s="1"/>
  <c r="AP51" i="20"/>
  <c r="BT37" i="20"/>
  <c r="AK37" i="20"/>
  <c r="AL38" i="20"/>
  <c r="BF38" i="20"/>
  <c r="BE44" i="20" s="1"/>
  <c r="BJ73" i="20"/>
  <c r="BI77" i="20" s="1"/>
  <c r="BK77" i="20" s="1"/>
  <c r="AP73" i="20"/>
  <c r="BS70" i="20"/>
  <c r="AJ70" i="20"/>
  <c r="BW70" i="20"/>
  <c r="AN70" i="20"/>
  <c r="AP72" i="20"/>
  <c r="BT71" i="20"/>
  <c r="AK71" i="20"/>
  <c r="BJ53" i="20"/>
  <c r="BI53" i="20" s="1"/>
  <c r="BK53" i="20" s="1"/>
  <c r="AP53" i="20"/>
  <c r="L36" i="2"/>
  <c r="N36" i="2"/>
  <c r="P36" i="2" s="1"/>
  <c r="BF55" i="20"/>
  <c r="BE59" i="20" s="1"/>
  <c r="BG59" i="20" s="1"/>
  <c r="AL55" i="20"/>
  <c r="BJ43" i="20"/>
  <c r="BG43" i="20"/>
  <c r="BG61" i="20"/>
  <c r="BJ61" i="20"/>
  <c r="BF53" i="20"/>
  <c r="BE53" i="20" s="1"/>
  <c r="BG53" i="20" s="1"/>
  <c r="AL53" i="20"/>
  <c r="AG52" i="20"/>
  <c r="AY52" i="20"/>
  <c r="BC52" i="20" s="1"/>
  <c r="AP71" i="20"/>
  <c r="BT52" i="20"/>
  <c r="AK52" i="20"/>
  <c r="BX38" i="20"/>
  <c r="AO38" i="20"/>
  <c r="AM51" i="20"/>
  <c r="AN72" i="20"/>
  <c r="AM55" i="20"/>
  <c r="AM71" i="20"/>
  <c r="AM36" i="20"/>
  <c r="AN71" i="20"/>
  <c r="AO34" i="20"/>
  <c r="AN36" i="20"/>
  <c r="AN55" i="20"/>
  <c r="AM69" i="20"/>
  <c r="AN37" i="20"/>
  <c r="AO54" i="20"/>
  <c r="AP37" i="20"/>
  <c r="AM34" i="20"/>
  <c r="AO37" i="20"/>
  <c r="AP36" i="20"/>
  <c r="AM54" i="20"/>
  <c r="AN69" i="20"/>
  <c r="AP69" i="20"/>
  <c r="AN56" i="20"/>
  <c r="AO35" i="20"/>
  <c r="AM56" i="20"/>
  <c r="AO36" i="20"/>
  <c r="AM53" i="20"/>
  <c r="AN54" i="20"/>
  <c r="AO56" i="20"/>
  <c r="AN34" i="20"/>
  <c r="AO72" i="20"/>
  <c r="AO69" i="20"/>
  <c r="AO55" i="20"/>
  <c r="AP54" i="20"/>
  <c r="AN35" i="20"/>
  <c r="AP55" i="20"/>
  <c r="AP34" i="20"/>
  <c r="AN33" i="20"/>
  <c r="AN51" i="20"/>
  <c r="AN53" i="20"/>
  <c r="AM35" i="20"/>
  <c r="AO71" i="20"/>
  <c r="AO52" i="20"/>
  <c r="AN52" i="20"/>
  <c r="AM37" i="20"/>
  <c r="AM33" i="20"/>
  <c r="J37" i="7"/>
  <c r="K23" i="18" s="1"/>
  <c r="BK5" i="1"/>
  <c r="AJ9" i="1" s="1"/>
  <c r="AX12" i="1" s="1"/>
  <c r="U24" i="7"/>
  <c r="AQ26" i="7" s="1"/>
  <c r="AK26" i="7" s="1"/>
  <c r="BM3" i="1"/>
  <c r="BP3" i="1"/>
  <c r="BO3" i="1"/>
  <c r="Y7" i="1"/>
  <c r="AW86" i="1"/>
  <c r="R25" i="1" s="1"/>
  <c r="AW106" i="1"/>
  <c r="AW87" i="1"/>
  <c r="R26" i="1" s="1"/>
  <c r="AW107" i="1"/>
  <c r="BM6" i="1"/>
  <c r="U27" i="7"/>
  <c r="AQ29" i="7" s="1"/>
  <c r="AK29" i="7" s="1"/>
  <c r="AW100" i="1"/>
  <c r="CD28" i="1"/>
  <c r="CD45" i="1"/>
  <c r="CD39" i="1"/>
  <c r="CD25" i="1"/>
  <c r="CD78" i="1"/>
  <c r="CD117" i="1"/>
  <c r="CD111" i="1"/>
  <c r="CD88" i="1"/>
  <c r="CD57" i="1"/>
  <c r="CD121" i="1"/>
  <c r="CD98" i="1"/>
  <c r="CD83" i="1"/>
  <c r="CD93" i="1"/>
  <c r="BB10" i="1"/>
  <c r="P3" i="3" s="1"/>
  <c r="CD52" i="1"/>
  <c r="CD30" i="1"/>
  <c r="CD24" i="1"/>
  <c r="CD49" i="1"/>
  <c r="CD102" i="1"/>
  <c r="CD71" i="1"/>
  <c r="CD69" i="1"/>
  <c r="CD112" i="1"/>
  <c r="CD81" i="1"/>
  <c r="CD58" i="1"/>
  <c r="CD68" i="1"/>
  <c r="CD107" i="1"/>
  <c r="CD27" i="1"/>
  <c r="CD29" i="1"/>
  <c r="CD47" i="1"/>
  <c r="CD26" i="1"/>
  <c r="CD92" i="1"/>
  <c r="CD119" i="1"/>
  <c r="CD120" i="1"/>
  <c r="CD105" i="1"/>
  <c r="CD106" i="1"/>
  <c r="CD115" i="1"/>
  <c r="CD35" i="1"/>
  <c r="CD37" i="1"/>
  <c r="CD42" i="1"/>
  <c r="CD54" i="1"/>
  <c r="CD85" i="1"/>
  <c r="CD84" i="1"/>
  <c r="CD100" i="1"/>
  <c r="CD113" i="1"/>
  <c r="CD114" i="1"/>
  <c r="CD60" i="1"/>
  <c r="CD43" i="1"/>
  <c r="CD53" i="1"/>
  <c r="CD32" i="1"/>
  <c r="CD62" i="1"/>
  <c r="CD55" i="1"/>
  <c r="CD56" i="1"/>
  <c r="CD116" i="1"/>
  <c r="CD76" i="1"/>
  <c r="CD101" i="1"/>
  <c r="CD108" i="1"/>
  <c r="CD51" i="1"/>
  <c r="CD22" i="1"/>
  <c r="CE22" i="1" s="1"/>
  <c r="CD40" i="1"/>
  <c r="CD70" i="1"/>
  <c r="CD63" i="1"/>
  <c r="CD64" i="1"/>
  <c r="CD77" i="1"/>
  <c r="CD109" i="1"/>
  <c r="CD59" i="1"/>
  <c r="CD61" i="1"/>
  <c r="CD36" i="1"/>
  <c r="CD38" i="1"/>
  <c r="CD48" i="1"/>
  <c r="CD86" i="1"/>
  <c r="CD79" i="1"/>
  <c r="CD72" i="1"/>
  <c r="CD65" i="1"/>
  <c r="CD66" i="1"/>
  <c r="CD67" i="1"/>
  <c r="CD44" i="1"/>
  <c r="CD46" i="1"/>
  <c r="CD34" i="1"/>
  <c r="CD94" i="1"/>
  <c r="CD87" i="1"/>
  <c r="CD80" i="1"/>
  <c r="CD73" i="1"/>
  <c r="CD74" i="1"/>
  <c r="CD75" i="1"/>
  <c r="AW78" i="1"/>
  <c r="R21" i="1" s="1"/>
  <c r="CD21" i="1"/>
  <c r="CE21" i="1" s="1"/>
  <c r="CD31" i="1"/>
  <c r="CD41" i="1"/>
  <c r="CD118" i="1"/>
  <c r="CD103" i="1"/>
  <c r="CD104" i="1"/>
  <c r="CD97" i="1"/>
  <c r="CD90" i="1"/>
  <c r="CD99" i="1"/>
  <c r="CD89" i="1"/>
  <c r="CD50" i="1"/>
  <c r="CD91" i="1"/>
  <c r="CD23" i="1"/>
  <c r="CD33" i="1"/>
  <c r="CD110" i="1"/>
  <c r="CD82" i="1"/>
  <c r="CD95" i="1"/>
  <c r="CD96" i="1"/>
  <c r="M37" i="7"/>
  <c r="L37" i="7"/>
  <c r="BK3" i="1"/>
  <c r="AJ8" i="1" s="1"/>
  <c r="AX11" i="1" s="1"/>
  <c r="AX106" i="1" s="1"/>
  <c r="J35" i="7"/>
  <c r="K21" i="18" s="1"/>
  <c r="AI49" i="7"/>
  <c r="L8" i="3" s="1"/>
  <c r="BW9" i="1"/>
  <c r="F39" i="7"/>
  <c r="G25" i="18" s="1"/>
  <c r="AG39" i="7"/>
  <c r="AR30" i="7" s="1"/>
  <c r="AL30" i="7" s="1"/>
  <c r="AY7" i="1"/>
  <c r="AX78" i="1"/>
  <c r="R41" i="1" s="1"/>
  <c r="BB11" i="1"/>
  <c r="P4" i="3" s="1"/>
  <c r="AX100" i="1"/>
  <c r="BB7" i="1"/>
  <c r="BW10" i="1"/>
  <c r="G39" i="7"/>
  <c r="H25" i="18" s="1"/>
  <c r="AH39" i="7"/>
  <c r="AJ49" i="7"/>
  <c r="M8" i="3" s="1"/>
  <c r="AI39" i="7"/>
  <c r="AI33" i="18"/>
  <c r="AI47" i="18" s="1"/>
  <c r="AI38" i="18" s="1"/>
  <c r="AO23" i="18"/>
  <c r="AP23" i="18" s="1"/>
  <c r="AU38" i="18"/>
  <c r="AV38" i="18" s="1"/>
  <c r="AW38" i="18" s="1"/>
  <c r="DI73" i="1"/>
  <c r="DI70" i="1"/>
  <c r="DI53" i="1"/>
  <c r="DI45" i="1"/>
  <c r="DI104" i="1"/>
  <c r="DI42" i="1"/>
  <c r="DI108" i="1"/>
  <c r="DI88" i="1"/>
  <c r="DI38" i="1"/>
  <c r="DI78" i="1"/>
  <c r="DI58" i="1"/>
  <c r="DI83" i="1"/>
  <c r="DI103" i="1"/>
  <c r="DI69" i="1"/>
  <c r="DI81" i="1"/>
  <c r="DI112" i="1"/>
  <c r="DI90" i="1"/>
  <c r="DI116" i="1"/>
  <c r="DI96" i="1"/>
  <c r="DI86" i="1"/>
  <c r="DI106" i="1"/>
  <c r="DI75" i="1"/>
  <c r="DI46" i="1"/>
  <c r="DI65" i="1"/>
  <c r="DI121" i="1"/>
  <c r="DI43" i="1"/>
  <c r="DI36" i="1"/>
  <c r="DI119" i="1"/>
  <c r="DI33" i="1"/>
  <c r="DI102" i="1"/>
  <c r="DI68" i="1"/>
  <c r="DI29" i="1"/>
  <c r="DI87" i="1"/>
  <c r="DI40" i="1"/>
  <c r="DI37" i="1"/>
  <c r="DI49" i="1"/>
  <c r="DI35" i="1"/>
  <c r="DI92" i="1"/>
  <c r="DI54" i="1"/>
  <c r="DI89" i="1"/>
  <c r="DI21" i="1"/>
  <c r="DJ21" i="1" s="1"/>
  <c r="DI22" i="1"/>
  <c r="DI110" i="1"/>
  <c r="DI23" i="1"/>
  <c r="DI74" i="1"/>
  <c r="DI32" i="1"/>
  <c r="DI98" i="1"/>
  <c r="DI105" i="1"/>
  <c r="DI28" i="1"/>
  <c r="DI111" i="1"/>
  <c r="DI25" i="1"/>
  <c r="DI62" i="1"/>
  <c r="DI59" i="1"/>
  <c r="DI50" i="1"/>
  <c r="DI100" i="1"/>
  <c r="DI27" i="1"/>
  <c r="DI61" i="1"/>
  <c r="DI120" i="1"/>
  <c r="DI66" i="1"/>
  <c r="DI71" i="1"/>
  <c r="DI99" i="1"/>
  <c r="DI93" i="1"/>
  <c r="DI26" i="1"/>
  <c r="DI56" i="1"/>
  <c r="DI101" i="1"/>
  <c r="DI44" i="1"/>
  <c r="DI41" i="1"/>
  <c r="DI97" i="1"/>
  <c r="DI64" i="1"/>
  <c r="DI77" i="1"/>
  <c r="DI95" i="1"/>
  <c r="DI79" i="1"/>
  <c r="DI107" i="1"/>
  <c r="DI82" i="1"/>
  <c r="DI72" i="1"/>
  <c r="DI117" i="1"/>
  <c r="DI67" i="1"/>
  <c r="DI31" i="1"/>
  <c r="DI52" i="1"/>
  <c r="DI113" i="1"/>
  <c r="DI80" i="1"/>
  <c r="DI47" i="1"/>
  <c r="DI39" i="1"/>
  <c r="DI114" i="1"/>
  <c r="DI48" i="1"/>
  <c r="DI115" i="1"/>
  <c r="DI24" i="1"/>
  <c r="DI94" i="1"/>
  <c r="DI30" i="1"/>
  <c r="DI76" i="1"/>
  <c r="DI85" i="1"/>
  <c r="DI57" i="1"/>
  <c r="DI63" i="1"/>
  <c r="DI91" i="1"/>
  <c r="DI118" i="1"/>
  <c r="DI109" i="1"/>
  <c r="DI60" i="1"/>
  <c r="DI51" i="1"/>
  <c r="DI34" i="1"/>
  <c r="DI55" i="1"/>
  <c r="DI84" i="1"/>
  <c r="AI45" i="18"/>
  <c r="BW17" i="1"/>
  <c r="BA7" i="1"/>
  <c r="H39" i="7"/>
  <c r="J25" i="18" s="1"/>
  <c r="AE39" i="7"/>
  <c r="AS30" i="7" s="1"/>
  <c r="AM30" i="7" s="1"/>
  <c r="U25" i="7"/>
  <c r="AQ27" i="7" s="1"/>
  <c r="AK27" i="7" s="1"/>
  <c r="BM4" i="1"/>
  <c r="BO6" i="1"/>
  <c r="BP6" i="1"/>
  <c r="BO4" i="1"/>
  <c r="BP4" i="1"/>
  <c r="G21" i="18"/>
  <c r="AO21" i="18" s="1"/>
  <c r="AP21" i="18" s="1"/>
  <c r="D27" i="18" s="1"/>
  <c r="BO5" i="1"/>
  <c r="BP5" i="1"/>
  <c r="AS11" i="1"/>
  <c r="G33" i="2"/>
  <c r="N41" i="7"/>
  <c r="AJ35" i="7"/>
  <c r="BM5" i="1"/>
  <c r="U26" i="7"/>
  <c r="AQ28" i="7" s="1"/>
  <c r="AK28" i="7" s="1"/>
  <c r="AS10" i="1"/>
  <c r="G32" i="2"/>
  <c r="DG22" i="1"/>
  <c r="CB23" i="1"/>
  <c r="EI25" i="1"/>
  <c r="BT58" i="20" l="1"/>
  <c r="AK58" i="20"/>
  <c r="BX57" i="20"/>
  <c r="AO57" i="20"/>
  <c r="BT57" i="20"/>
  <c r="AK57" i="20"/>
  <c r="J41" i="7"/>
  <c r="DI221" i="1"/>
  <c r="DI199" i="1"/>
  <c r="DI184" i="1"/>
  <c r="DI183" i="1"/>
  <c r="DI213" i="1"/>
  <c r="DI175" i="1"/>
  <c r="DI173" i="1"/>
  <c r="DI238" i="1"/>
  <c r="DI197" i="1"/>
  <c r="DI141" i="1"/>
  <c r="DJ141" i="1" s="1"/>
  <c r="DI177" i="1"/>
  <c r="DI240" i="1"/>
  <c r="DI229" i="1"/>
  <c r="DI176" i="1"/>
  <c r="DI158" i="1"/>
  <c r="DI157" i="1"/>
  <c r="DI150" i="1"/>
  <c r="DI224" i="1"/>
  <c r="DI212" i="1"/>
  <c r="DI239" i="1"/>
  <c r="DI188" i="1"/>
  <c r="DI219" i="1"/>
  <c r="DI203" i="1"/>
  <c r="DI214" i="1"/>
  <c r="DI195" i="1"/>
  <c r="DI174" i="1"/>
  <c r="DI226" i="1"/>
  <c r="DI216" i="1"/>
  <c r="DI191" i="1"/>
  <c r="DI166" i="1"/>
  <c r="DI211" i="1"/>
  <c r="DI192" i="1"/>
  <c r="DI230" i="1"/>
  <c r="DI204" i="1"/>
  <c r="DI186" i="1"/>
  <c r="DI160" i="1"/>
  <c r="DI222" i="1"/>
  <c r="DI196" i="1"/>
  <c r="DI178" i="1"/>
  <c r="DI170" i="1"/>
  <c r="DI149" i="1"/>
  <c r="DI144" i="1"/>
  <c r="DI165" i="1"/>
  <c r="DI231" i="1"/>
  <c r="DI167" i="1"/>
  <c r="DI206" i="1"/>
  <c r="DI142" i="1"/>
  <c r="DJ142" i="1" s="1"/>
  <c r="DI180" i="1"/>
  <c r="DI163" i="1"/>
  <c r="DI162" i="1"/>
  <c r="DI208" i="1"/>
  <c r="DI232" i="1"/>
  <c r="DI189" i="1"/>
  <c r="DI223" i="1"/>
  <c r="DI159" i="1"/>
  <c r="DI198" i="1"/>
  <c r="DI236" i="1"/>
  <c r="DI172" i="1"/>
  <c r="DI155" i="1"/>
  <c r="DI154" i="1"/>
  <c r="DI237" i="1"/>
  <c r="DI200" i="1"/>
  <c r="DI152" i="1"/>
  <c r="DI215" i="1"/>
  <c r="DI151" i="1"/>
  <c r="DI190" i="1"/>
  <c r="DI228" i="1"/>
  <c r="DI164" i="1"/>
  <c r="DI147" i="1"/>
  <c r="DI217" i="1"/>
  <c r="DI205" i="1"/>
  <c r="DI168" i="1"/>
  <c r="DI181" i="1"/>
  <c r="DI207" i="1"/>
  <c r="DI143" i="1"/>
  <c r="DI182" i="1"/>
  <c r="DI220" i="1"/>
  <c r="DI227" i="1"/>
  <c r="DI234" i="1"/>
  <c r="DI209" i="1"/>
  <c r="DI201" i="1"/>
  <c r="DI193" i="1"/>
  <c r="AG33" i="20"/>
  <c r="B31" i="3"/>
  <c r="E31" i="3" s="1"/>
  <c r="F31" i="3" s="1"/>
  <c r="H31" i="3" s="1"/>
  <c r="AS12" i="1" s="1"/>
  <c r="E44" i="3" s="1"/>
  <c r="AW12" i="1"/>
  <c r="AJ50" i="18"/>
  <c r="AJ45" i="18" s="1"/>
  <c r="AX107" i="1"/>
  <c r="AX86" i="1"/>
  <c r="R45" i="1" s="1"/>
  <c r="DI156" i="1"/>
  <c r="DI187" i="1"/>
  <c r="DI218" i="1"/>
  <c r="DI140" i="1"/>
  <c r="DJ140" i="1" s="1"/>
  <c r="DI169" i="1"/>
  <c r="DI148" i="1"/>
  <c r="DI179" i="1"/>
  <c r="DI202" i="1"/>
  <c r="DI233" i="1"/>
  <c r="DI161" i="1"/>
  <c r="DI235" i="1"/>
  <c r="DI171" i="1"/>
  <c r="DI194" i="1"/>
  <c r="DI225" i="1"/>
  <c r="DI153" i="1"/>
  <c r="AG56" i="20"/>
  <c r="BJ52" i="20"/>
  <c r="BI52" i="20" s="1"/>
  <c r="BK52" i="20" s="1"/>
  <c r="BL51" i="20" s="1"/>
  <c r="AP33" i="20"/>
  <c r="AG35" i="20"/>
  <c r="BD33" i="20"/>
  <c r="BN33" i="20" s="1"/>
  <c r="AY86" i="1"/>
  <c r="R65" i="1" s="1"/>
  <c r="AY107" i="1"/>
  <c r="AY106" i="1"/>
  <c r="AY87" i="1"/>
  <c r="R66" i="1" s="1"/>
  <c r="AU12" i="1"/>
  <c r="AX87" i="1"/>
  <c r="R46" i="1" s="1"/>
  <c r="AV12" i="1"/>
  <c r="DI145" i="1"/>
  <c r="DI210" i="1"/>
  <c r="DI146" i="1"/>
  <c r="AG51" i="20"/>
  <c r="AP16" i="1"/>
  <c r="AO18" i="1"/>
  <c r="BD51" i="20"/>
  <c r="BN51" i="20" s="1"/>
  <c r="N39" i="2"/>
  <c r="P39" i="2" s="1"/>
  <c r="L39" i="2"/>
  <c r="AT10" i="1"/>
  <c r="B44" i="3" s="1"/>
  <c r="DJ263" i="1"/>
  <c r="H33" i="2"/>
  <c r="J33" i="2" s="1"/>
  <c r="M33" i="2" s="1"/>
  <c r="O33" i="2" s="1"/>
  <c r="AP35" i="20"/>
  <c r="AP56" i="20"/>
  <c r="L40" i="2"/>
  <c r="AG71" i="20"/>
  <c r="AL34" i="20"/>
  <c r="DN141" i="1"/>
  <c r="DM141" i="1" s="1"/>
  <c r="BL33" i="20"/>
  <c r="BL34" i="20" s="1"/>
  <c r="BL35" i="20" s="1"/>
  <c r="BL36" i="20" s="1"/>
  <c r="BL37" i="20" s="1"/>
  <c r="BJ62" i="20"/>
  <c r="DG143" i="1"/>
  <c r="CZ142" i="1"/>
  <c r="N38" i="2"/>
  <c r="P38" i="2" s="1"/>
  <c r="FU142" i="1"/>
  <c r="FU141" i="1"/>
  <c r="FU140" i="1"/>
  <c r="DN140" i="1"/>
  <c r="DN142" i="1"/>
  <c r="AL56" i="20"/>
  <c r="FN143" i="1"/>
  <c r="FU143" i="1" s="1"/>
  <c r="FG142" i="1"/>
  <c r="DG264" i="1"/>
  <c r="DJ264" i="1" s="1"/>
  <c r="FN265" i="1"/>
  <c r="CB266" i="1"/>
  <c r="CE265" i="1"/>
  <c r="EI266" i="1"/>
  <c r="CE146" i="1"/>
  <c r="CB147" i="1"/>
  <c r="EI146" i="1"/>
  <c r="L37" i="2"/>
  <c r="L35" i="2"/>
  <c r="N35" i="2"/>
  <c r="P35" i="2" s="1"/>
  <c r="AY44" i="20"/>
  <c r="BC44" i="20" s="1"/>
  <c r="AG38" i="20"/>
  <c r="BX70" i="20"/>
  <c r="AO70" i="20"/>
  <c r="BF37" i="20"/>
  <c r="BE41" i="20" s="1"/>
  <c r="BG41" i="20" s="1"/>
  <c r="AL37" i="20"/>
  <c r="AP38" i="20"/>
  <c r="BJ38" i="20"/>
  <c r="BI44" i="20" s="1"/>
  <c r="BK44" i="20" s="1"/>
  <c r="AK70" i="20"/>
  <c r="BT70" i="20"/>
  <c r="AL71" i="20"/>
  <c r="BF71" i="20"/>
  <c r="BE71" i="20" s="1"/>
  <c r="BG71" i="20" s="1"/>
  <c r="BO33" i="20"/>
  <c r="BH34" i="20"/>
  <c r="BF52" i="20"/>
  <c r="BE52" i="20" s="1"/>
  <c r="BG52" i="20" s="1"/>
  <c r="BH51" i="20" s="1"/>
  <c r="AL52" i="20"/>
  <c r="BG44" i="20"/>
  <c r="BJ44" i="20"/>
  <c r="BD69" i="20"/>
  <c r="BA3" i="1"/>
  <c r="BS17" i="1"/>
  <c r="H35" i="7"/>
  <c r="J21" i="18" s="1"/>
  <c r="AE35" i="7"/>
  <c r="AS26" i="7" s="1"/>
  <c r="AM26" i="7" s="1"/>
  <c r="BA4" i="1"/>
  <c r="H36" i="7"/>
  <c r="J22" i="18" s="1"/>
  <c r="BT17" i="1"/>
  <c r="AE36" i="7"/>
  <c r="AS27" i="7" s="1"/>
  <c r="AM27" i="7" s="1"/>
  <c r="BA5" i="1"/>
  <c r="H37" i="7"/>
  <c r="J23" i="18" s="1"/>
  <c r="BU17" i="1"/>
  <c r="AE37" i="7"/>
  <c r="AS28" i="7" s="1"/>
  <c r="AM28" i="7" s="1"/>
  <c r="K39" i="7"/>
  <c r="L25" i="18" s="1"/>
  <c r="BL7" i="1"/>
  <c r="F42" i="18"/>
  <c r="F43" i="18" s="1"/>
  <c r="AN38" i="18"/>
  <c r="I37" i="18" s="1"/>
  <c r="C29" i="18"/>
  <c r="AK35" i="7"/>
  <c r="AP26" i="7" s="1"/>
  <c r="AJ26" i="7" s="1"/>
  <c r="AZ3" i="1" s="1"/>
  <c r="Y8" i="1" s="1"/>
  <c r="H38" i="7"/>
  <c r="J24" i="18" s="1"/>
  <c r="BA6" i="1"/>
  <c r="AE38" i="7"/>
  <c r="AS29" i="7" s="1"/>
  <c r="AM29" i="7" s="1"/>
  <c r="BV17" i="1"/>
  <c r="AW11" i="1"/>
  <c r="AW10" i="1"/>
  <c r="AJ39" i="7"/>
  <c r="BK7" i="1"/>
  <c r="J39" i="7"/>
  <c r="K25" i="18" s="1"/>
  <c r="AU10" i="1"/>
  <c r="AU11" i="1"/>
  <c r="AO25" i="18"/>
  <c r="AP25" i="18" s="1"/>
  <c r="C44" i="3"/>
  <c r="D67" i="3" s="1"/>
  <c r="AR82" i="1"/>
  <c r="AR78" i="1"/>
  <c r="AR100" i="1"/>
  <c r="AR105" i="1" s="1"/>
  <c r="W43" i="1" s="1"/>
  <c r="AV11" i="1"/>
  <c r="AV10" i="1"/>
  <c r="BU23" i="1"/>
  <c r="CE23" i="1"/>
  <c r="CB24" i="1"/>
  <c r="DG23" i="1"/>
  <c r="DJ22" i="1"/>
  <c r="K32" i="2"/>
  <c r="J32" i="2"/>
  <c r="M32" i="2" s="1"/>
  <c r="O32" i="2" s="1"/>
  <c r="FN23" i="1"/>
  <c r="A44" i="3"/>
  <c r="EI26" i="1"/>
  <c r="BF58" i="20" l="1"/>
  <c r="BE64" i="20" s="1"/>
  <c r="AL58" i="20"/>
  <c r="BJ57" i="20"/>
  <c r="BI63" i="20" s="1"/>
  <c r="AP57" i="20"/>
  <c r="BF57" i="20"/>
  <c r="BE63" i="20" s="1"/>
  <c r="AL57" i="20"/>
  <c r="AK50" i="18"/>
  <c r="AL50" i="18" s="1"/>
  <c r="G34" i="2"/>
  <c r="G31" i="3"/>
  <c r="I31" i="3" s="1"/>
  <c r="H34" i="2" s="1"/>
  <c r="BD34" i="20"/>
  <c r="BD35" i="20" s="1"/>
  <c r="BD36" i="20" s="1"/>
  <c r="BD37" i="20" s="1"/>
  <c r="BD38" i="20" s="1"/>
  <c r="BD39" i="20" s="1"/>
  <c r="BD40" i="20" s="1"/>
  <c r="BD41" i="20" s="1"/>
  <c r="BD42" i="20" s="1"/>
  <c r="BD43" i="20" s="1"/>
  <c r="BD44" i="20" s="1"/>
  <c r="BD45" i="20" s="1"/>
  <c r="BD46" i="20" s="1"/>
  <c r="BD47" i="20" s="1"/>
  <c r="BD52" i="20"/>
  <c r="BD53" i="20" s="1"/>
  <c r="BD54" i="20" s="1"/>
  <c r="BD55" i="20" s="1"/>
  <c r="BD56" i="20" s="1"/>
  <c r="BD57" i="20" s="1"/>
  <c r="BD58" i="20" s="1"/>
  <c r="BD59" i="20" s="1"/>
  <c r="BD60" i="20" s="1"/>
  <c r="BD61" i="20" s="1"/>
  <c r="BD62" i="20" s="1"/>
  <c r="BD63" i="20" s="1"/>
  <c r="BD64" i="20" s="1"/>
  <c r="BD65" i="20" s="1"/>
  <c r="BD66" i="20" s="1"/>
  <c r="AB10" i="1"/>
  <c r="AP18" i="1"/>
  <c r="EP260" i="1"/>
  <c r="ET260" i="1" s="1"/>
  <c r="EP25" i="1"/>
  <c r="ET25" i="1" s="1"/>
  <c r="EP23" i="1"/>
  <c r="EO23" i="1" s="1"/>
  <c r="CI21" i="1"/>
  <c r="CM21" i="1" s="1"/>
  <c r="DN23" i="1"/>
  <c r="DT23" i="1" s="1"/>
  <c r="DZ23" i="1" s="1"/>
  <c r="CI265" i="1"/>
  <c r="CM265" i="1" s="1"/>
  <c r="CI264" i="1"/>
  <c r="CJ264" i="1" s="1"/>
  <c r="FU22" i="1"/>
  <c r="FV22" i="1" s="1"/>
  <c r="AQ82" i="1"/>
  <c r="AQ89" i="1" s="1"/>
  <c r="EP143" i="1"/>
  <c r="EO143" i="1" s="1"/>
  <c r="DN21" i="1"/>
  <c r="DR21" i="1" s="1"/>
  <c r="EP142" i="1"/>
  <c r="ER142" i="1" s="1"/>
  <c r="EP22" i="1"/>
  <c r="EQ22" i="1" s="1"/>
  <c r="FU21" i="1"/>
  <c r="FT21" i="1" s="1"/>
  <c r="CI262" i="1"/>
  <c r="CJ262" i="1" s="1"/>
  <c r="CI145" i="1"/>
  <c r="CJ145" i="1" s="1"/>
  <c r="CI142" i="1"/>
  <c r="CO142" i="1" s="1"/>
  <c r="CU142" i="1" s="1"/>
  <c r="CI24" i="1"/>
  <c r="CK24" i="1" s="1"/>
  <c r="CI22" i="1"/>
  <c r="CK22" i="1" s="1"/>
  <c r="AQ78" i="1"/>
  <c r="AQ85" i="1" s="1"/>
  <c r="AQ86" i="1" s="1"/>
  <c r="EP144" i="1"/>
  <c r="EO144" i="1" s="1"/>
  <c r="EY144" i="1" s="1"/>
  <c r="EZ144" i="1" s="1"/>
  <c r="CI141" i="1"/>
  <c r="CO141" i="1" s="1"/>
  <c r="CU141" i="1" s="1"/>
  <c r="AQ100" i="1"/>
  <c r="AQ105" i="1" s="1"/>
  <c r="DN22" i="1"/>
  <c r="DM22" i="1" s="1"/>
  <c r="B88" i="3"/>
  <c r="EP24" i="1"/>
  <c r="ER24" i="1" s="1"/>
  <c r="CI146" i="1"/>
  <c r="CM146" i="1" s="1"/>
  <c r="CI144" i="1"/>
  <c r="CM144" i="1" s="1"/>
  <c r="EP140" i="1"/>
  <c r="ET140" i="1" s="1"/>
  <c r="EP261" i="1"/>
  <c r="EO261" i="1" s="1"/>
  <c r="EP21" i="1"/>
  <c r="ER21" i="1" s="1"/>
  <c r="CI23" i="1"/>
  <c r="CH23" i="1" s="1"/>
  <c r="FU23" i="1"/>
  <c r="FW23" i="1" s="1"/>
  <c r="EP263" i="1"/>
  <c r="EV263" i="1" s="1"/>
  <c r="FB263" i="1" s="1"/>
  <c r="CI260" i="1"/>
  <c r="CH260" i="1" s="1"/>
  <c r="EP145" i="1"/>
  <c r="EO145" i="1" s="1"/>
  <c r="CI263" i="1"/>
  <c r="CM263" i="1" s="1"/>
  <c r="CI261" i="1"/>
  <c r="CH261" i="1" s="1"/>
  <c r="EP262" i="1"/>
  <c r="EO262" i="1" s="1"/>
  <c r="EP141" i="1"/>
  <c r="ET141" i="1" s="1"/>
  <c r="EP265" i="1"/>
  <c r="EQ265" i="1" s="1"/>
  <c r="EP264" i="1"/>
  <c r="EV264" i="1" s="1"/>
  <c r="FB264" i="1" s="1"/>
  <c r="CI143" i="1"/>
  <c r="CJ143" i="1" s="1"/>
  <c r="CI140" i="1"/>
  <c r="CJ140" i="1" s="1"/>
  <c r="Z9" i="1"/>
  <c r="AE77" i="1" s="1"/>
  <c r="DQ253" i="1"/>
  <c r="DQ133" i="1"/>
  <c r="FY142" i="1" s="1"/>
  <c r="DQ14" i="1"/>
  <c r="K33" i="2"/>
  <c r="L33" i="2" s="1"/>
  <c r="DP141" i="1"/>
  <c r="DR141" i="1"/>
  <c r="BP33" i="20"/>
  <c r="AT33" i="20" s="1"/>
  <c r="DO141" i="1"/>
  <c r="DT141" i="1"/>
  <c r="DZ141" i="1" s="1"/>
  <c r="FN144" i="1"/>
  <c r="DJ143" i="1"/>
  <c r="DG144" i="1"/>
  <c r="DT142" i="1"/>
  <c r="DZ142" i="1" s="1"/>
  <c r="DM142" i="1"/>
  <c r="DO142" i="1"/>
  <c r="DP142" i="1"/>
  <c r="DR142" i="1"/>
  <c r="FT141" i="1"/>
  <c r="FV141" i="1"/>
  <c r="FW141" i="1"/>
  <c r="GA141" i="1"/>
  <c r="GG141" i="1" s="1"/>
  <c r="FS141" i="1" s="1"/>
  <c r="FO141" i="1" s="1"/>
  <c r="FL141" i="1" s="1"/>
  <c r="FK141" i="1" s="1"/>
  <c r="FT143" i="1"/>
  <c r="FV143" i="1"/>
  <c r="FW143" i="1"/>
  <c r="GA143" i="1"/>
  <c r="GG143" i="1" s="1"/>
  <c r="FS143" i="1" s="1"/>
  <c r="FO143" i="1" s="1"/>
  <c r="FL143" i="1" s="1"/>
  <c r="FK143" i="1" s="1"/>
  <c r="DO140" i="1"/>
  <c r="DM140" i="1"/>
  <c r="DR140" i="1"/>
  <c r="DP140" i="1"/>
  <c r="DT140" i="1"/>
  <c r="DZ140" i="1" s="1"/>
  <c r="DN143" i="1"/>
  <c r="FW140" i="1"/>
  <c r="FV140" i="1"/>
  <c r="FT140" i="1"/>
  <c r="GA140" i="1"/>
  <c r="GG140" i="1" s="1"/>
  <c r="FS140" i="1" s="1"/>
  <c r="FO140" i="1" s="1"/>
  <c r="FL140" i="1" s="1"/>
  <c r="FV142" i="1"/>
  <c r="FW142" i="1"/>
  <c r="FT142" i="1"/>
  <c r="GA142" i="1"/>
  <c r="GG142" i="1" s="1"/>
  <c r="FS142" i="1" s="1"/>
  <c r="FO142" i="1" s="1"/>
  <c r="FL142" i="1" s="1"/>
  <c r="FK142" i="1" s="1"/>
  <c r="DL141" i="1"/>
  <c r="DH141" i="1" s="1"/>
  <c r="DE141" i="1" s="1"/>
  <c r="DD141" i="1" s="1"/>
  <c r="DW141" i="1"/>
  <c r="DX141" i="1" s="1"/>
  <c r="DQ141" i="1"/>
  <c r="DY141" i="1"/>
  <c r="DS141" i="1"/>
  <c r="DU141" i="1"/>
  <c r="DG265" i="1"/>
  <c r="DJ265" i="1" s="1"/>
  <c r="CB267" i="1"/>
  <c r="CI266" i="1"/>
  <c r="CE266" i="1"/>
  <c r="EI267" i="1"/>
  <c r="EP266" i="1"/>
  <c r="FN266" i="1"/>
  <c r="CI147" i="1"/>
  <c r="CE147" i="1"/>
  <c r="CB148" i="1"/>
  <c r="EP146" i="1"/>
  <c r="EI147" i="1"/>
  <c r="BH35" i="20"/>
  <c r="BH36" i="20" s="1"/>
  <c r="BH37" i="20" s="1"/>
  <c r="BH38" i="20" s="1"/>
  <c r="BH39" i="20" s="1"/>
  <c r="BH40" i="20" s="1"/>
  <c r="BH41" i="20" s="1"/>
  <c r="BH42" i="20" s="1"/>
  <c r="BH43" i="20" s="1"/>
  <c r="BH44" i="20" s="1"/>
  <c r="BH45" i="20" s="1"/>
  <c r="BH46" i="20" s="1"/>
  <c r="BH47" i="20" s="1"/>
  <c r="BL38" i="20"/>
  <c r="BL39" i="20" s="1"/>
  <c r="BL40" i="20" s="1"/>
  <c r="BL41" i="20" s="1"/>
  <c r="BL42" i="20" s="1"/>
  <c r="BL43" i="20" s="1"/>
  <c r="BL44" i="20" s="1"/>
  <c r="BL45" i="20" s="1"/>
  <c r="BL46" i="20" s="1"/>
  <c r="BL47" i="20" s="1"/>
  <c r="BD70" i="20"/>
  <c r="BD71" i="20" s="1"/>
  <c r="BD72" i="20" s="1"/>
  <c r="BD73" i="20" s="1"/>
  <c r="BD74" i="20" s="1"/>
  <c r="BD75" i="20" s="1"/>
  <c r="BD76" i="20" s="1"/>
  <c r="BD77" i="20" s="1"/>
  <c r="BD78" i="20" s="1"/>
  <c r="BD79" i="20" s="1"/>
  <c r="BD80" i="20" s="1"/>
  <c r="BD81" i="20" s="1"/>
  <c r="BD82" i="20" s="1"/>
  <c r="BD83" i="20" s="1"/>
  <c r="BN69" i="20"/>
  <c r="BP51" i="20"/>
  <c r="BL52" i="20"/>
  <c r="BL53" i="20" s="1"/>
  <c r="BL54" i="20" s="1"/>
  <c r="BL55" i="20" s="1"/>
  <c r="BL56" i="20" s="1"/>
  <c r="BL57" i="20" s="1"/>
  <c r="BL58" i="20" s="1"/>
  <c r="BL59" i="20" s="1"/>
  <c r="BL60" i="20" s="1"/>
  <c r="BL61" i="20" s="1"/>
  <c r="BL62" i="20" s="1"/>
  <c r="BL63" i="20" s="1"/>
  <c r="AR33" i="20"/>
  <c r="AP70" i="20"/>
  <c r="BJ70" i="20"/>
  <c r="BI70" i="20" s="1"/>
  <c r="BK70" i="20" s="1"/>
  <c r="BL69" i="20" s="1"/>
  <c r="BO51" i="20"/>
  <c r="BH52" i="20"/>
  <c r="BH53" i="20" s="1"/>
  <c r="BH54" i="20" s="1"/>
  <c r="BH55" i="20" s="1"/>
  <c r="BH56" i="20" s="1"/>
  <c r="BH57" i="20" s="1"/>
  <c r="BH58" i="20" s="1"/>
  <c r="BH59" i="20" s="1"/>
  <c r="BH60" i="20" s="1"/>
  <c r="BH61" i="20" s="1"/>
  <c r="BH62" i="20" s="1"/>
  <c r="BH63" i="20" s="1"/>
  <c r="BF70" i="20"/>
  <c r="BE70" i="20" s="1"/>
  <c r="BG70" i="20" s="1"/>
  <c r="BH69" i="20" s="1"/>
  <c r="AL70" i="20"/>
  <c r="AS33" i="20"/>
  <c r="BO34" i="20"/>
  <c r="AR51" i="20"/>
  <c r="K35" i="7"/>
  <c r="L21" i="18" s="1"/>
  <c r="BL3" i="1"/>
  <c r="D92" i="3"/>
  <c r="D57" i="3"/>
  <c r="D89" i="3"/>
  <c r="D48" i="3"/>
  <c r="D74" i="3"/>
  <c r="D88" i="3"/>
  <c r="D78" i="3"/>
  <c r="D51" i="3"/>
  <c r="D47" i="3"/>
  <c r="D50" i="3"/>
  <c r="D102" i="3"/>
  <c r="D98" i="3"/>
  <c r="D95" i="3"/>
  <c r="D59" i="3"/>
  <c r="D86" i="3"/>
  <c r="D61" i="3"/>
  <c r="D77" i="3"/>
  <c r="D94" i="3"/>
  <c r="D72" i="3"/>
  <c r="D87" i="3"/>
  <c r="D93" i="3"/>
  <c r="D73" i="3"/>
  <c r="D53" i="3"/>
  <c r="D79" i="3"/>
  <c r="D66" i="3"/>
  <c r="D49" i="3"/>
  <c r="D64" i="3"/>
  <c r="D106" i="3"/>
  <c r="D82" i="3"/>
  <c r="D104" i="3"/>
  <c r="D105" i="3"/>
  <c r="D63" i="3"/>
  <c r="D90" i="3"/>
  <c r="D81" i="3"/>
  <c r="AK39" i="7"/>
  <c r="AP30" i="7" s="1"/>
  <c r="AJ30" i="7" s="1"/>
  <c r="AZ7" i="1" s="1"/>
  <c r="K38" i="7"/>
  <c r="L24" i="18" s="1"/>
  <c r="BL6" i="1"/>
  <c r="AR106" i="1"/>
  <c r="D99" i="3"/>
  <c r="D69" i="3"/>
  <c r="D100" i="3"/>
  <c r="D76" i="3"/>
  <c r="D68" i="3"/>
  <c r="D70" i="3"/>
  <c r="D62" i="3"/>
  <c r="D96" i="3"/>
  <c r="Z8" i="1"/>
  <c r="AE55" i="1" s="1"/>
  <c r="Z7" i="1"/>
  <c r="AG34" i="1" s="1"/>
  <c r="K37" i="7"/>
  <c r="L23" i="18" s="1"/>
  <c r="BL5" i="1"/>
  <c r="AR79" i="1"/>
  <c r="W39" i="1" s="1"/>
  <c r="AR85" i="1"/>
  <c r="AR86" i="1" s="1"/>
  <c r="W38" i="1"/>
  <c r="AR101" i="1"/>
  <c r="D83" i="3"/>
  <c r="D60" i="3"/>
  <c r="D91" i="3"/>
  <c r="D97" i="3"/>
  <c r="D52" i="3"/>
  <c r="D71" i="3"/>
  <c r="D107" i="3"/>
  <c r="D80" i="3"/>
  <c r="BB53" i="1"/>
  <c r="AR102" i="1"/>
  <c r="W40" i="1" s="1"/>
  <c r="U36" i="1" s="1"/>
  <c r="BB52" i="1"/>
  <c r="BB56" i="1"/>
  <c r="AR83" i="1"/>
  <c r="BD78" i="1"/>
  <c r="AR87" i="1"/>
  <c r="AR88" i="1" s="1"/>
  <c r="BD79" i="1"/>
  <c r="R39" i="1" s="1"/>
  <c r="BD101" i="1"/>
  <c r="BD100" i="1"/>
  <c r="AR89" i="1"/>
  <c r="AX82" i="1"/>
  <c r="BL4" i="1"/>
  <c r="K36" i="7"/>
  <c r="L22" i="18" s="1"/>
  <c r="D65" i="3"/>
  <c r="D108" i="3"/>
  <c r="D56" i="3"/>
  <c r="D58" i="3"/>
  <c r="D55" i="3"/>
  <c r="D101" i="3"/>
  <c r="D84" i="3"/>
  <c r="D103" i="3"/>
  <c r="D75" i="3"/>
  <c r="D54" i="3"/>
  <c r="D85" i="3"/>
  <c r="AY79" i="1"/>
  <c r="R62" i="1" s="1"/>
  <c r="B80" i="3"/>
  <c r="B52" i="3"/>
  <c r="B99" i="3"/>
  <c r="B107" i="3"/>
  <c r="B103" i="3"/>
  <c r="B53" i="3"/>
  <c r="B62" i="3"/>
  <c r="B48" i="3"/>
  <c r="B100" i="3"/>
  <c r="B84" i="3"/>
  <c r="B105" i="3"/>
  <c r="B63" i="3"/>
  <c r="B59" i="3"/>
  <c r="B66" i="3"/>
  <c r="B101" i="3"/>
  <c r="B98" i="3"/>
  <c r="B67" i="3"/>
  <c r="B64" i="3"/>
  <c r="B60" i="3"/>
  <c r="B95" i="3"/>
  <c r="B47" i="3"/>
  <c r="B75" i="3"/>
  <c r="B56" i="3"/>
  <c r="B89" i="3"/>
  <c r="B104" i="3"/>
  <c r="B90" i="3"/>
  <c r="B92" i="3"/>
  <c r="B55" i="3"/>
  <c r="B74" i="3"/>
  <c r="B85" i="3"/>
  <c r="B108" i="3"/>
  <c r="B71" i="3"/>
  <c r="B58" i="3"/>
  <c r="B68" i="3"/>
  <c r="B57" i="3"/>
  <c r="B93" i="3"/>
  <c r="B87" i="3"/>
  <c r="B49" i="3"/>
  <c r="B79" i="3"/>
  <c r="B78" i="3"/>
  <c r="B70" i="3"/>
  <c r="B69" i="3"/>
  <c r="B102" i="3"/>
  <c r="B54" i="3"/>
  <c r="B73" i="3"/>
  <c r="B83" i="3"/>
  <c r="B61" i="3"/>
  <c r="B77" i="3"/>
  <c r="B72" i="3"/>
  <c r="B82" i="3"/>
  <c r="B50" i="3"/>
  <c r="B65" i="3"/>
  <c r="B96" i="3"/>
  <c r="B81" i="3"/>
  <c r="B86" i="3"/>
  <c r="B94" i="3"/>
  <c r="B76" i="3"/>
  <c r="B51" i="3"/>
  <c r="B106" i="3"/>
  <c r="B91" i="3"/>
  <c r="B97" i="3"/>
  <c r="L32" i="2"/>
  <c r="N32" i="2"/>
  <c r="P32" i="2" s="1"/>
  <c r="DJ23" i="1"/>
  <c r="CZ23" i="1"/>
  <c r="DG24" i="1"/>
  <c r="CB25" i="1"/>
  <c r="CE24" i="1"/>
  <c r="EI27" i="1"/>
  <c r="EP26" i="1"/>
  <c r="FN24" i="1"/>
  <c r="FG23" i="1"/>
  <c r="AK45" i="18" l="1"/>
  <c r="BC12" i="1"/>
  <c r="Q5" i="3" s="1"/>
  <c r="K34" i="2"/>
  <c r="N34" i="2" s="1"/>
  <c r="P34" i="2" s="1"/>
  <c r="J34" i="2"/>
  <c r="M34" i="2" s="1"/>
  <c r="O34" i="2" s="1"/>
  <c r="AT12" i="1"/>
  <c r="AS78" i="1" s="1"/>
  <c r="AS85" i="1" s="1"/>
  <c r="AS86" i="1" s="1"/>
  <c r="AK9" i="1"/>
  <c r="AY12" i="1" s="1"/>
  <c r="AY101" i="1"/>
  <c r="BN52" i="20"/>
  <c r="AR52" i="20" s="1"/>
  <c r="BN34" i="20"/>
  <c r="AR34" i="20" s="1"/>
  <c r="EQ25" i="1"/>
  <c r="EV25" i="1"/>
  <c r="FB25" i="1" s="1"/>
  <c r="EO25" i="1"/>
  <c r="ES25" i="1" s="1"/>
  <c r="CK21" i="1"/>
  <c r="CH21" i="1"/>
  <c r="CR21" i="1" s="1"/>
  <c r="CS21" i="1" s="1"/>
  <c r="CJ261" i="1"/>
  <c r="BC78" i="1"/>
  <c r="AQ95" i="1" s="1"/>
  <c r="BA53" i="1"/>
  <c r="AQ110" i="1" s="1"/>
  <c r="W28" i="1" s="1"/>
  <c r="CJ21" i="1"/>
  <c r="CO21" i="1"/>
  <c r="CU21" i="1" s="1"/>
  <c r="EO24" i="1"/>
  <c r="EW24" i="1" s="1"/>
  <c r="EO22" i="1"/>
  <c r="ES22" i="1" s="1"/>
  <c r="ET144" i="1"/>
  <c r="AW82" i="1"/>
  <c r="FY141" i="1"/>
  <c r="FY140" i="1"/>
  <c r="FY143" i="1"/>
  <c r="ER25" i="1"/>
  <c r="EQ24" i="1"/>
  <c r="CM24" i="1"/>
  <c r="DR23" i="1"/>
  <c r="DM23" i="1"/>
  <c r="DY23" i="1" s="1"/>
  <c r="DP23" i="1"/>
  <c r="DO23" i="1"/>
  <c r="ET22" i="1"/>
  <c r="EV22" i="1"/>
  <c r="FB22" i="1" s="1"/>
  <c r="CO24" i="1"/>
  <c r="CU24" i="1" s="1"/>
  <c r="EV24" i="1"/>
  <c r="FB24" i="1" s="1"/>
  <c r="CH24" i="1"/>
  <c r="CG24" i="1" s="1"/>
  <c r="CC24" i="1" s="1"/>
  <c r="BZ24" i="1" s="1"/>
  <c r="BY24" i="1" s="1"/>
  <c r="W44" i="1"/>
  <c r="ET24" i="1"/>
  <c r="CJ24" i="1"/>
  <c r="AQ83" i="1"/>
  <c r="ER22" i="1"/>
  <c r="FT23" i="1"/>
  <c r="GD23" i="1" s="1"/>
  <c r="GE23" i="1" s="1"/>
  <c r="AQ87" i="1"/>
  <c r="AQ88" i="1" s="1"/>
  <c r="FV23" i="1"/>
  <c r="BA56" i="1"/>
  <c r="GA23" i="1"/>
  <c r="GG23" i="1" s="1"/>
  <c r="FS23" i="1" s="1"/>
  <c r="FO23" i="1" s="1"/>
  <c r="FL23" i="1" s="1"/>
  <c r="FK23" i="1" s="1"/>
  <c r="AQ102" i="1"/>
  <c r="W20" i="1" s="1"/>
  <c r="U15" i="1" s="1"/>
  <c r="BC79" i="1"/>
  <c r="R19" i="1" s="1"/>
  <c r="BC101" i="1"/>
  <c r="BC100" i="1"/>
  <c r="EV23" i="1"/>
  <c r="FB23" i="1" s="1"/>
  <c r="DT21" i="1"/>
  <c r="DZ21" i="1" s="1"/>
  <c r="BA52" i="1"/>
  <c r="DO21" i="1"/>
  <c r="ET23" i="1"/>
  <c r="EQ23" i="1"/>
  <c r="DM21" i="1"/>
  <c r="DY21" i="1" s="1"/>
  <c r="ER23" i="1"/>
  <c r="EW144" i="1"/>
  <c r="CH141" i="1"/>
  <c r="CN141" i="1" s="1"/>
  <c r="AQ106" i="1"/>
  <c r="W24" i="1" s="1"/>
  <c r="W23" i="1"/>
  <c r="FY21" i="1"/>
  <c r="ES144" i="1"/>
  <c r="CK263" i="1"/>
  <c r="CH263" i="1"/>
  <c r="CN263" i="1" s="1"/>
  <c r="FA144" i="1"/>
  <c r="EQ144" i="1"/>
  <c r="EU144" i="1"/>
  <c r="ER144" i="1"/>
  <c r="EV140" i="1"/>
  <c r="FB140" i="1" s="1"/>
  <c r="DR22" i="1"/>
  <c r="ER140" i="1"/>
  <c r="GA22" i="1"/>
  <c r="GG22" i="1" s="1"/>
  <c r="FS22" i="1" s="1"/>
  <c r="FO22" i="1" s="1"/>
  <c r="FL22" i="1" s="1"/>
  <c r="FK22" i="1" s="1"/>
  <c r="EV143" i="1"/>
  <c r="FB143" i="1" s="1"/>
  <c r="EQ263" i="1"/>
  <c r="EN144" i="1"/>
  <c r="EJ144" i="1" s="1"/>
  <c r="EG144" i="1" s="1"/>
  <c r="EF144" i="1" s="1"/>
  <c r="EQ140" i="1"/>
  <c r="EO140" i="1"/>
  <c r="EU140" i="1" s="1"/>
  <c r="DP22" i="1"/>
  <c r="CJ23" i="1"/>
  <c r="DO22" i="1"/>
  <c r="EV144" i="1"/>
  <c r="FB144" i="1" s="1"/>
  <c r="CJ263" i="1"/>
  <c r="EQ141" i="1"/>
  <c r="CO265" i="1"/>
  <c r="CU265" i="1" s="1"/>
  <c r="CJ141" i="1"/>
  <c r="CK265" i="1"/>
  <c r="CM260" i="1"/>
  <c r="CM261" i="1"/>
  <c r="EO260" i="1"/>
  <c r="EU260" i="1" s="1"/>
  <c r="CJ142" i="1"/>
  <c r="GA21" i="1"/>
  <c r="GG21" i="1" s="1"/>
  <c r="FS21" i="1" s="1"/>
  <c r="FO21" i="1" s="1"/>
  <c r="FL21" i="1" s="1"/>
  <c r="ET265" i="1"/>
  <c r="EV261" i="1"/>
  <c r="FB261" i="1" s="1"/>
  <c r="DP21" i="1"/>
  <c r="EQ261" i="1"/>
  <c r="ER261" i="1"/>
  <c r="CK261" i="1"/>
  <c r="CH265" i="1"/>
  <c r="CG265" i="1" s="1"/>
  <c r="CC265" i="1" s="1"/>
  <c r="BZ265" i="1" s="1"/>
  <c r="BY265" i="1" s="1"/>
  <c r="EO265" i="1"/>
  <c r="FA265" i="1" s="1"/>
  <c r="CM141" i="1"/>
  <c r="ET261" i="1"/>
  <c r="ER264" i="1"/>
  <c r="FW21" i="1"/>
  <c r="CJ265" i="1"/>
  <c r="CK141" i="1"/>
  <c r="ER143" i="1"/>
  <c r="EQ264" i="1"/>
  <c r="FV21" i="1"/>
  <c r="ER260" i="1"/>
  <c r="CO261" i="1"/>
  <c r="CU261" i="1" s="1"/>
  <c r="ER263" i="1"/>
  <c r="EV265" i="1"/>
  <c r="FB265" i="1" s="1"/>
  <c r="EV260" i="1"/>
  <c r="FB260" i="1" s="1"/>
  <c r="CH142" i="1"/>
  <c r="CN142" i="1" s="1"/>
  <c r="EQ260" i="1"/>
  <c r="CK142" i="1"/>
  <c r="CM142" i="1"/>
  <c r="CK262" i="1"/>
  <c r="ET21" i="1"/>
  <c r="CJ260" i="1"/>
  <c r="CM262" i="1"/>
  <c r="CM264" i="1"/>
  <c r="ER265" i="1"/>
  <c r="ER262" i="1"/>
  <c r="CO262" i="1"/>
  <c r="CU262" i="1" s="1"/>
  <c r="EV21" i="1"/>
  <c r="FB21" i="1" s="1"/>
  <c r="EQ262" i="1"/>
  <c r="EO21" i="1"/>
  <c r="EW21" i="1" s="1"/>
  <c r="ET262" i="1"/>
  <c r="CK264" i="1"/>
  <c r="EV262" i="1"/>
  <c r="FB262" i="1" s="1"/>
  <c r="EQ21" i="1"/>
  <c r="CH262" i="1"/>
  <c r="CN262" i="1" s="1"/>
  <c r="CH264" i="1"/>
  <c r="CN264" i="1" s="1"/>
  <c r="CO264" i="1"/>
  <c r="CU264" i="1" s="1"/>
  <c r="CO23" i="1"/>
  <c r="CU23" i="1" s="1"/>
  <c r="ET143" i="1"/>
  <c r="EO141" i="1"/>
  <c r="EY141" i="1" s="1"/>
  <c r="EZ141" i="1" s="1"/>
  <c r="CH145" i="1"/>
  <c r="CN145" i="1" s="1"/>
  <c r="CK145" i="1"/>
  <c r="FT22" i="1"/>
  <c r="GB22" i="1" s="1"/>
  <c r="CM23" i="1"/>
  <c r="EQ143" i="1"/>
  <c r="ET263" i="1"/>
  <c r="CO145" i="1"/>
  <c r="CU145" i="1" s="1"/>
  <c r="CM145" i="1"/>
  <c r="FW22" i="1"/>
  <c r="CK23" i="1"/>
  <c r="ET264" i="1"/>
  <c r="EO263" i="1"/>
  <c r="EY263" i="1" s="1"/>
  <c r="EZ263" i="1" s="1"/>
  <c r="DT22" i="1"/>
  <c r="DZ22" i="1" s="1"/>
  <c r="EV141" i="1"/>
  <c r="FB141" i="1" s="1"/>
  <c r="ER141" i="1"/>
  <c r="EO264" i="1"/>
  <c r="ES264" i="1" s="1"/>
  <c r="EV142" i="1"/>
  <c r="FB142" i="1" s="1"/>
  <c r="EO142" i="1"/>
  <c r="EW142" i="1" s="1"/>
  <c r="ET142" i="1"/>
  <c r="EQ142" i="1"/>
  <c r="BP34" i="20"/>
  <c r="AT34" i="20" s="1"/>
  <c r="AQ79" i="1"/>
  <c r="W19" i="1" s="1"/>
  <c r="CK144" i="1"/>
  <c r="W18" i="1"/>
  <c r="CO144" i="1"/>
  <c r="CU144" i="1" s="1"/>
  <c r="CK260" i="1"/>
  <c r="CJ22" i="1"/>
  <c r="AQ101" i="1"/>
  <c r="CO22" i="1"/>
  <c r="CU22" i="1" s="1"/>
  <c r="CJ146" i="1"/>
  <c r="CH144" i="1"/>
  <c r="CL144" i="1" s="1"/>
  <c r="CM22" i="1"/>
  <c r="CK146" i="1"/>
  <c r="CJ144" i="1"/>
  <c r="CH22" i="1"/>
  <c r="CP22" i="1" s="1"/>
  <c r="CO146" i="1"/>
  <c r="CU146" i="1" s="1"/>
  <c r="CH146" i="1"/>
  <c r="CT146" i="1" s="1"/>
  <c r="CO260" i="1"/>
  <c r="CU260" i="1" s="1"/>
  <c r="CM140" i="1"/>
  <c r="CH143" i="1"/>
  <c r="CT143" i="1" s="1"/>
  <c r="EQ145" i="1"/>
  <c r="CO263" i="1"/>
  <c r="CU263" i="1" s="1"/>
  <c r="ER145" i="1"/>
  <c r="ET145" i="1"/>
  <c r="CO140" i="1"/>
  <c r="CU140" i="1" s="1"/>
  <c r="CO143" i="1"/>
  <c r="CU143" i="1" s="1"/>
  <c r="EV145" i="1"/>
  <c r="FB145" i="1" s="1"/>
  <c r="CK140" i="1"/>
  <c r="CK143" i="1"/>
  <c r="CH140" i="1"/>
  <c r="CP140" i="1" s="1"/>
  <c r="CM143" i="1"/>
  <c r="EK358" i="1"/>
  <c r="EK354" i="1"/>
  <c r="EK350" i="1"/>
  <c r="EK346" i="1"/>
  <c r="EK342" i="1"/>
  <c r="EK338" i="1"/>
  <c r="EK334" i="1"/>
  <c r="EK330" i="1"/>
  <c r="EK326" i="1"/>
  <c r="EK322" i="1"/>
  <c r="EK318" i="1"/>
  <c r="EK314" i="1"/>
  <c r="EK310" i="1"/>
  <c r="EK306" i="1"/>
  <c r="EK302" i="1"/>
  <c r="EK298" i="1"/>
  <c r="EK294" i="1"/>
  <c r="EK290" i="1"/>
  <c r="EK286" i="1"/>
  <c r="EK282" i="1"/>
  <c r="EK278" i="1"/>
  <c r="EK274" i="1"/>
  <c r="EK270" i="1"/>
  <c r="EK266" i="1"/>
  <c r="EL266" i="1" s="1"/>
  <c r="EK262" i="1"/>
  <c r="EL262" i="1" s="1"/>
  <c r="EK239" i="1"/>
  <c r="EK235" i="1"/>
  <c r="EK231" i="1"/>
  <c r="EK227" i="1"/>
  <c r="EK223" i="1"/>
  <c r="EK219" i="1"/>
  <c r="EK357" i="1"/>
  <c r="EK353" i="1"/>
  <c r="EK349" i="1"/>
  <c r="EK345" i="1"/>
  <c r="EK341" i="1"/>
  <c r="EK337" i="1"/>
  <c r="EK333" i="1"/>
  <c r="EK329" i="1"/>
  <c r="EK325" i="1"/>
  <c r="EK321" i="1"/>
  <c r="EK317" i="1"/>
  <c r="EK313" i="1"/>
  <c r="EK309" i="1"/>
  <c r="EK305" i="1"/>
  <c r="EK301" i="1"/>
  <c r="EK297" i="1"/>
  <c r="EK293" i="1"/>
  <c r="EK289" i="1"/>
  <c r="EK285" i="1"/>
  <c r="EK281" i="1"/>
  <c r="EK277" i="1"/>
  <c r="EK273" i="1"/>
  <c r="EK269" i="1"/>
  <c r="EK265" i="1"/>
  <c r="EL265" i="1" s="1"/>
  <c r="EK261" i="1"/>
  <c r="EL261" i="1" s="1"/>
  <c r="EK238" i="1"/>
  <c r="EK234" i="1"/>
  <c r="EK230" i="1"/>
  <c r="EK226" i="1"/>
  <c r="EK222" i="1"/>
  <c r="EK218" i="1"/>
  <c r="EK260" i="1"/>
  <c r="EL260" i="1" s="1"/>
  <c r="EK359" i="1"/>
  <c r="EK355" i="1"/>
  <c r="EK351" i="1"/>
  <c r="EK347" i="1"/>
  <c r="EK343" i="1"/>
  <c r="EK339" i="1"/>
  <c r="EK335" i="1"/>
  <c r="EK331" i="1"/>
  <c r="EK327" i="1"/>
  <c r="EK323" i="1"/>
  <c r="EK319" i="1"/>
  <c r="EK315" i="1"/>
  <c r="EK311" i="1"/>
  <c r="EK307" i="1"/>
  <c r="EK303" i="1"/>
  <c r="EK299" i="1"/>
  <c r="EK295" i="1"/>
  <c r="EK291" i="1"/>
  <c r="EK287" i="1"/>
  <c r="EK283" i="1"/>
  <c r="EK279" i="1"/>
  <c r="EK275" i="1"/>
  <c r="EK271" i="1"/>
  <c r="EK267" i="1"/>
  <c r="EL267" i="1" s="1"/>
  <c r="EK263" i="1"/>
  <c r="EL263" i="1" s="1"/>
  <c r="EK240" i="1"/>
  <c r="EK236" i="1"/>
  <c r="EK232" i="1"/>
  <c r="EK228" i="1"/>
  <c r="EK224" i="1"/>
  <c r="EK220" i="1"/>
  <c r="EK216" i="1"/>
  <c r="EK183" i="1"/>
  <c r="EK179" i="1"/>
  <c r="EK175" i="1"/>
  <c r="EK171" i="1"/>
  <c r="EK167" i="1"/>
  <c r="EK163" i="1"/>
  <c r="EK159" i="1"/>
  <c r="EK155" i="1"/>
  <c r="EK151" i="1"/>
  <c r="EK147" i="1"/>
  <c r="EL147" i="1" s="1"/>
  <c r="EK143" i="1"/>
  <c r="EL143" i="1" s="1"/>
  <c r="EK140" i="1"/>
  <c r="EL140" i="1" s="1"/>
  <c r="EK213" i="1"/>
  <c r="EK185" i="1"/>
  <c r="EK169" i="1"/>
  <c r="EK153" i="1"/>
  <c r="EK141" i="1"/>
  <c r="EL141" i="1" s="1"/>
  <c r="EK268" i="1"/>
  <c r="EK212" i="1"/>
  <c r="EK184" i="1"/>
  <c r="EK156" i="1"/>
  <c r="EK360" i="1"/>
  <c r="EK344" i="1"/>
  <c r="EK328" i="1"/>
  <c r="EK312" i="1"/>
  <c r="EK296" i="1"/>
  <c r="EK280" i="1"/>
  <c r="EK264" i="1"/>
  <c r="EL264" i="1" s="1"/>
  <c r="EK229" i="1"/>
  <c r="EK215" i="1"/>
  <c r="EK211" i="1"/>
  <c r="EK207" i="1"/>
  <c r="EK203" i="1"/>
  <c r="EK199" i="1"/>
  <c r="EK195" i="1"/>
  <c r="EK191" i="1"/>
  <c r="EK187" i="1"/>
  <c r="EK189" i="1"/>
  <c r="EK161" i="1"/>
  <c r="EK316" i="1"/>
  <c r="EK284" i="1"/>
  <c r="EK233" i="1"/>
  <c r="EK204" i="1"/>
  <c r="EK196" i="1"/>
  <c r="EK176" i="1"/>
  <c r="EK160" i="1"/>
  <c r="EK148" i="1"/>
  <c r="EK182" i="1"/>
  <c r="EK170" i="1"/>
  <c r="EK166" i="1"/>
  <c r="EK158" i="1"/>
  <c r="EK154" i="1"/>
  <c r="EK150" i="1"/>
  <c r="EK146" i="1"/>
  <c r="EL146" i="1" s="1"/>
  <c r="EK144" i="1"/>
  <c r="EL144" i="1" s="1"/>
  <c r="EK356" i="1"/>
  <c r="EK340" i="1"/>
  <c r="EK324" i="1"/>
  <c r="EK308" i="1"/>
  <c r="EK292" i="1"/>
  <c r="EK276" i="1"/>
  <c r="EK225" i="1"/>
  <c r="EK214" i="1"/>
  <c r="EK210" i="1"/>
  <c r="EK206" i="1"/>
  <c r="EK202" i="1"/>
  <c r="EK198" i="1"/>
  <c r="EK194" i="1"/>
  <c r="EK190" i="1"/>
  <c r="EK186" i="1"/>
  <c r="EK178" i="1"/>
  <c r="EK174" i="1"/>
  <c r="EK162" i="1"/>
  <c r="EK142" i="1"/>
  <c r="EL142" i="1" s="1"/>
  <c r="EK352" i="1"/>
  <c r="EK336" i="1"/>
  <c r="EK320" i="1"/>
  <c r="EK288" i="1"/>
  <c r="EK272" i="1"/>
  <c r="EK237" i="1"/>
  <c r="EK221" i="1"/>
  <c r="EK209" i="1"/>
  <c r="EK201" i="1"/>
  <c r="EK197" i="1"/>
  <c r="EK193" i="1"/>
  <c r="EK181" i="1"/>
  <c r="EK173" i="1"/>
  <c r="EK165" i="1"/>
  <c r="EK157" i="1"/>
  <c r="EK149" i="1"/>
  <c r="EK348" i="1"/>
  <c r="EK208" i="1"/>
  <c r="EK188" i="1"/>
  <c r="EK164" i="1"/>
  <c r="EK304" i="1"/>
  <c r="EK205" i="1"/>
  <c r="EK177" i="1"/>
  <c r="EK145" i="1"/>
  <c r="EL145" i="1" s="1"/>
  <c r="EK332" i="1"/>
  <c r="EK300" i="1"/>
  <c r="EK217" i="1"/>
  <c r="EK200" i="1"/>
  <c r="EK192" i="1"/>
  <c r="EK180" i="1"/>
  <c r="EK168" i="1"/>
  <c r="EK152" i="1"/>
  <c r="EK172" i="1"/>
  <c r="FP148" i="1"/>
  <c r="FP156" i="1"/>
  <c r="FP164" i="1"/>
  <c r="FP172" i="1"/>
  <c r="FP180" i="1"/>
  <c r="FP188" i="1"/>
  <c r="FP196" i="1"/>
  <c r="FP204" i="1"/>
  <c r="FP212" i="1"/>
  <c r="FP220" i="1"/>
  <c r="FP228" i="1"/>
  <c r="FP236" i="1"/>
  <c r="FP141" i="1"/>
  <c r="FQ141" i="1" s="1"/>
  <c r="FP149" i="1"/>
  <c r="FP157" i="1"/>
  <c r="FP165" i="1"/>
  <c r="FP173" i="1"/>
  <c r="FP181" i="1"/>
  <c r="FP189" i="1"/>
  <c r="FP197" i="1"/>
  <c r="FP205" i="1"/>
  <c r="FP213" i="1"/>
  <c r="FP221" i="1"/>
  <c r="FP229" i="1"/>
  <c r="FP237" i="1"/>
  <c r="FP142" i="1"/>
  <c r="FQ142" i="1" s="1"/>
  <c r="FP150" i="1"/>
  <c r="FP158" i="1"/>
  <c r="FP166" i="1"/>
  <c r="FP174" i="1"/>
  <c r="FP182" i="1"/>
  <c r="FP190" i="1"/>
  <c r="FP198" i="1"/>
  <c r="FP206" i="1"/>
  <c r="FP214" i="1"/>
  <c r="FP222" i="1"/>
  <c r="FP230" i="1"/>
  <c r="FP238" i="1"/>
  <c r="FP143" i="1"/>
  <c r="FQ143" i="1" s="1"/>
  <c r="FP151" i="1"/>
  <c r="FP159" i="1"/>
  <c r="FP167" i="1"/>
  <c r="FP175" i="1"/>
  <c r="FP183" i="1"/>
  <c r="FP191" i="1"/>
  <c r="FP199" i="1"/>
  <c r="FP207" i="1"/>
  <c r="FP215" i="1"/>
  <c r="FP223" i="1"/>
  <c r="FP231" i="1"/>
  <c r="FP239" i="1"/>
  <c r="FP145" i="1"/>
  <c r="FP153" i="1"/>
  <c r="FP161" i="1"/>
  <c r="FP169" i="1"/>
  <c r="FP177" i="1"/>
  <c r="FP185" i="1"/>
  <c r="FP193" i="1"/>
  <c r="FP201" i="1"/>
  <c r="FP209" i="1"/>
  <c r="FP217" i="1"/>
  <c r="FP225" i="1"/>
  <c r="FP233" i="1"/>
  <c r="FP146" i="1"/>
  <c r="FP154" i="1"/>
  <c r="FP162" i="1"/>
  <c r="FP170" i="1"/>
  <c r="FP178" i="1"/>
  <c r="FP186" i="1"/>
  <c r="FP194" i="1"/>
  <c r="FP202" i="1"/>
  <c r="FP210" i="1"/>
  <c r="FP218" i="1"/>
  <c r="FP226" i="1"/>
  <c r="FP234" i="1"/>
  <c r="FP140" i="1"/>
  <c r="FQ140" i="1" s="1"/>
  <c r="FP171" i="1"/>
  <c r="FP203" i="1"/>
  <c r="FP235" i="1"/>
  <c r="FP160" i="1"/>
  <c r="FP192" i="1"/>
  <c r="FP224" i="1"/>
  <c r="FP144" i="1"/>
  <c r="FQ144" i="1" s="1"/>
  <c r="FP176" i="1"/>
  <c r="FP208" i="1"/>
  <c r="FP240" i="1"/>
  <c r="FP227" i="1"/>
  <c r="FP168" i="1"/>
  <c r="FP232" i="1"/>
  <c r="FP147" i="1"/>
  <c r="FP179" i="1"/>
  <c r="FP211" i="1"/>
  <c r="FP155" i="1"/>
  <c r="FP187" i="1"/>
  <c r="FP219" i="1"/>
  <c r="FP163" i="1"/>
  <c r="FP152" i="1"/>
  <c r="FP184" i="1"/>
  <c r="FP216" i="1"/>
  <c r="FP195" i="1"/>
  <c r="FP200" i="1"/>
  <c r="FP264" i="1"/>
  <c r="FQ264" i="1" s="1"/>
  <c r="FP272" i="1"/>
  <c r="FP280" i="1"/>
  <c r="FP288" i="1"/>
  <c r="FP296" i="1"/>
  <c r="FP304" i="1"/>
  <c r="FP312" i="1"/>
  <c r="FP320" i="1"/>
  <c r="FP328" i="1"/>
  <c r="FP336" i="1"/>
  <c r="FP344" i="1"/>
  <c r="FP352" i="1"/>
  <c r="FP360" i="1"/>
  <c r="FP265" i="1"/>
  <c r="FQ265" i="1" s="1"/>
  <c r="FP273" i="1"/>
  <c r="FP281" i="1"/>
  <c r="FP289" i="1"/>
  <c r="FP297" i="1"/>
  <c r="FP305" i="1"/>
  <c r="FP313" i="1"/>
  <c r="FP321" i="1"/>
  <c r="FP329" i="1"/>
  <c r="FP337" i="1"/>
  <c r="FP345" i="1"/>
  <c r="FP353" i="1"/>
  <c r="FP266" i="1"/>
  <c r="FQ266" i="1" s="1"/>
  <c r="FP274" i="1"/>
  <c r="FP282" i="1"/>
  <c r="FP290" i="1"/>
  <c r="FP298" i="1"/>
  <c r="FP306" i="1"/>
  <c r="FP314" i="1"/>
  <c r="FP322" i="1"/>
  <c r="FP330" i="1"/>
  <c r="FP338" i="1"/>
  <c r="FP346" i="1"/>
  <c r="FP354" i="1"/>
  <c r="FP267" i="1"/>
  <c r="FP275" i="1"/>
  <c r="FP283" i="1"/>
  <c r="FP291" i="1"/>
  <c r="FP299" i="1"/>
  <c r="FP307" i="1"/>
  <c r="FP315" i="1"/>
  <c r="FP323" i="1"/>
  <c r="FP331" i="1"/>
  <c r="FP339" i="1"/>
  <c r="FP347" i="1"/>
  <c r="FP355" i="1"/>
  <c r="FP261" i="1"/>
  <c r="FQ261" i="1" s="1"/>
  <c r="FP269" i="1"/>
  <c r="FP277" i="1"/>
  <c r="FP285" i="1"/>
  <c r="FP293" i="1"/>
  <c r="FP301" i="1"/>
  <c r="FP309" i="1"/>
  <c r="FP317" i="1"/>
  <c r="FP325" i="1"/>
  <c r="FP333" i="1"/>
  <c r="FP341" i="1"/>
  <c r="FP349" i="1"/>
  <c r="FP357" i="1"/>
  <c r="FP260" i="1"/>
  <c r="FQ260" i="1" s="1"/>
  <c r="FP262" i="1"/>
  <c r="FQ262" i="1" s="1"/>
  <c r="FP270" i="1"/>
  <c r="FP278" i="1"/>
  <c r="FP286" i="1"/>
  <c r="FP294" i="1"/>
  <c r="FP302" i="1"/>
  <c r="FP310" i="1"/>
  <c r="FP318" i="1"/>
  <c r="FP326" i="1"/>
  <c r="FP334" i="1"/>
  <c r="FP342" i="1"/>
  <c r="FP350" i="1"/>
  <c r="FP358" i="1"/>
  <c r="FP263" i="1"/>
  <c r="FQ263" i="1" s="1"/>
  <c r="FP295" i="1"/>
  <c r="FP327" i="1"/>
  <c r="FP359" i="1"/>
  <c r="FP311" i="1"/>
  <c r="FP268" i="1"/>
  <c r="FP300" i="1"/>
  <c r="FP332" i="1"/>
  <c r="FP284" i="1"/>
  <c r="FP319" i="1"/>
  <c r="FP356" i="1"/>
  <c r="FP271" i="1"/>
  <c r="FP303" i="1"/>
  <c r="FP335" i="1"/>
  <c r="FP343" i="1"/>
  <c r="FP276" i="1"/>
  <c r="FP308" i="1"/>
  <c r="FP340" i="1"/>
  <c r="FP279" i="1"/>
  <c r="FP316" i="1"/>
  <c r="FP287" i="1"/>
  <c r="FP292" i="1"/>
  <c r="FP348" i="1"/>
  <c r="FP351" i="1"/>
  <c r="FP324" i="1"/>
  <c r="N33" i="2"/>
  <c r="P33" i="2" s="1"/>
  <c r="BH64" i="20"/>
  <c r="BH65" i="20" s="1"/>
  <c r="DN265" i="1"/>
  <c r="DM265" i="1" s="1"/>
  <c r="DU142" i="1"/>
  <c r="DV142" i="1" s="1"/>
  <c r="DW142" i="1"/>
  <c r="DX142" i="1" s="1"/>
  <c r="DQ142" i="1"/>
  <c r="DY142" i="1"/>
  <c r="DS142" i="1"/>
  <c r="DL142" i="1"/>
  <c r="DH142" i="1" s="1"/>
  <c r="DE142" i="1" s="1"/>
  <c r="DD142" i="1" s="1"/>
  <c r="GF142" i="1"/>
  <c r="FZ142" i="1"/>
  <c r="GB142" i="1"/>
  <c r="GC142" i="1" s="1"/>
  <c r="GD142" i="1"/>
  <c r="GE142" i="1" s="1"/>
  <c r="FX142" i="1"/>
  <c r="DV141" i="1"/>
  <c r="DM143" i="1"/>
  <c r="DT143" i="1"/>
  <c r="DZ143" i="1" s="1"/>
  <c r="DO143" i="1"/>
  <c r="DR143" i="1"/>
  <c r="DP143" i="1"/>
  <c r="GB141" i="1"/>
  <c r="GC141" i="1" s="1"/>
  <c r="FX141" i="1"/>
  <c r="GF141" i="1"/>
  <c r="GD141" i="1"/>
  <c r="GE141" i="1" s="1"/>
  <c r="FZ141" i="1"/>
  <c r="DJ144" i="1"/>
  <c r="DG145" i="1"/>
  <c r="DN144" i="1"/>
  <c r="FN145" i="1"/>
  <c r="FU144" i="1"/>
  <c r="DL140" i="1"/>
  <c r="DH140" i="1" s="1"/>
  <c r="DE140" i="1" s="1"/>
  <c r="DQ140" i="1"/>
  <c r="DY140" i="1"/>
  <c r="DU140" i="1"/>
  <c r="DV140" i="1" s="1"/>
  <c r="DW140" i="1"/>
  <c r="DX140" i="1" s="1"/>
  <c r="DS140" i="1"/>
  <c r="FX140" i="1"/>
  <c r="GF140" i="1"/>
  <c r="GD140" i="1"/>
  <c r="GE140" i="1" s="1"/>
  <c r="GB140" i="1"/>
  <c r="GC140" i="1" s="1"/>
  <c r="FZ140" i="1"/>
  <c r="FZ143" i="1"/>
  <c r="GB143" i="1"/>
  <c r="GC143" i="1" s="1"/>
  <c r="GD143" i="1"/>
  <c r="GE143" i="1" s="1"/>
  <c r="FX143" i="1"/>
  <c r="GF143" i="1"/>
  <c r="EU143" i="1"/>
  <c r="FA143" i="1"/>
  <c r="ES143" i="1"/>
  <c r="EY143" i="1"/>
  <c r="EZ143" i="1" s="1"/>
  <c r="EN143" i="1"/>
  <c r="EJ143" i="1" s="1"/>
  <c r="EG143" i="1" s="1"/>
  <c r="EF143" i="1" s="1"/>
  <c r="EW143" i="1"/>
  <c r="CG261" i="1"/>
  <c r="CC261" i="1" s="1"/>
  <c r="BZ261" i="1" s="1"/>
  <c r="BY261" i="1" s="1"/>
  <c r="CN261" i="1"/>
  <c r="CT261" i="1"/>
  <c r="CL261" i="1"/>
  <c r="CR261" i="1"/>
  <c r="CS261" i="1" s="1"/>
  <c r="CP261" i="1"/>
  <c r="EW262" i="1"/>
  <c r="EU262" i="1"/>
  <c r="EN262" i="1"/>
  <c r="EJ262" i="1" s="1"/>
  <c r="EG262" i="1" s="1"/>
  <c r="EF262" i="1" s="1"/>
  <c r="ES262" i="1"/>
  <c r="EY262" i="1"/>
  <c r="EZ262" i="1" s="1"/>
  <c r="FA262" i="1"/>
  <c r="CR260" i="1"/>
  <c r="CS260" i="1" s="1"/>
  <c r="CP260" i="1"/>
  <c r="CG260" i="1"/>
  <c r="CC260" i="1" s="1"/>
  <c r="BZ260" i="1" s="1"/>
  <c r="CN260" i="1"/>
  <c r="CT260" i="1"/>
  <c r="CL260" i="1"/>
  <c r="EW261" i="1"/>
  <c r="EU261" i="1"/>
  <c r="EY261" i="1"/>
  <c r="EZ261" i="1" s="1"/>
  <c r="EN261" i="1"/>
  <c r="EJ261" i="1" s="1"/>
  <c r="EG261" i="1" s="1"/>
  <c r="EF261" i="1" s="1"/>
  <c r="FA261" i="1"/>
  <c r="ES261" i="1"/>
  <c r="ER266" i="1"/>
  <c r="EO266" i="1"/>
  <c r="EV266" i="1"/>
  <c r="FB266" i="1" s="1"/>
  <c r="ET266" i="1"/>
  <c r="EQ266" i="1"/>
  <c r="DG266" i="1"/>
  <c r="EI268" i="1"/>
  <c r="EP267" i="1"/>
  <c r="CB268" i="1"/>
  <c r="CI267" i="1"/>
  <c r="CE267" i="1"/>
  <c r="FN267" i="1"/>
  <c r="CO266" i="1"/>
  <c r="CU266" i="1" s="1"/>
  <c r="CM266" i="1"/>
  <c r="CK266" i="1"/>
  <c r="CJ266" i="1"/>
  <c r="CH266" i="1"/>
  <c r="EP147" i="1"/>
  <c r="EI148" i="1"/>
  <c r="EO146" i="1"/>
  <c r="ET146" i="1"/>
  <c r="ER146" i="1"/>
  <c r="EQ146" i="1"/>
  <c r="EV146" i="1"/>
  <c r="FB146" i="1" s="1"/>
  <c r="EW145" i="1"/>
  <c r="EN145" i="1"/>
  <c r="EJ145" i="1" s="1"/>
  <c r="EG145" i="1" s="1"/>
  <c r="EF145" i="1" s="1"/>
  <c r="EU145" i="1"/>
  <c r="FA145" i="1"/>
  <c r="ES145" i="1"/>
  <c r="EY145" i="1"/>
  <c r="EZ145" i="1" s="1"/>
  <c r="CI148" i="1"/>
  <c r="CB149" i="1"/>
  <c r="CE148" i="1"/>
  <c r="CM147" i="1"/>
  <c r="CO147" i="1"/>
  <c r="CU147" i="1" s="1"/>
  <c r="CK147" i="1"/>
  <c r="CJ147" i="1"/>
  <c r="CH147" i="1"/>
  <c r="BL64" i="20"/>
  <c r="BL65" i="20" s="1"/>
  <c r="AS51" i="20"/>
  <c r="AR61" i="20" s="1"/>
  <c r="BO52" i="20"/>
  <c r="BP69" i="20"/>
  <c r="BL70" i="20"/>
  <c r="BL71" i="20" s="1"/>
  <c r="BL72" i="20" s="1"/>
  <c r="BL73" i="20" s="1"/>
  <c r="BL74" i="20" s="1"/>
  <c r="BL75" i="20" s="1"/>
  <c r="BL76" i="20" s="1"/>
  <c r="BL77" i="20" s="1"/>
  <c r="BL78" i="20" s="1"/>
  <c r="BL79" i="20" s="1"/>
  <c r="BL80" i="20" s="1"/>
  <c r="BL81" i="20" s="1"/>
  <c r="BL82" i="20" s="1"/>
  <c r="BL83" i="20" s="1"/>
  <c r="AR69" i="20"/>
  <c r="BN70" i="20"/>
  <c r="AR43" i="20"/>
  <c r="AT51" i="20"/>
  <c r="BP52" i="20"/>
  <c r="BH70" i="20"/>
  <c r="BH71" i="20" s="1"/>
  <c r="BH72" i="20" s="1"/>
  <c r="BH73" i="20" s="1"/>
  <c r="BH74" i="20" s="1"/>
  <c r="BH75" i="20" s="1"/>
  <c r="BH76" i="20" s="1"/>
  <c r="BH77" i="20" s="1"/>
  <c r="BH78" i="20" s="1"/>
  <c r="BH79" i="20" s="1"/>
  <c r="BH80" i="20" s="1"/>
  <c r="BH81" i="20" s="1"/>
  <c r="BH82" i="20" s="1"/>
  <c r="BH83" i="20" s="1"/>
  <c r="BO69" i="20"/>
  <c r="BO35" i="20"/>
  <c r="AS34" i="20"/>
  <c r="AR84" i="1"/>
  <c r="AL45" i="18"/>
  <c r="G42" i="18" s="1"/>
  <c r="AM50" i="18"/>
  <c r="AM45" i="18" s="1"/>
  <c r="AT39" i="18" s="1"/>
  <c r="AW101" i="1"/>
  <c r="EK23" i="1"/>
  <c r="EL23" i="1" s="1"/>
  <c r="EK22" i="1"/>
  <c r="EL22" i="1" s="1"/>
  <c r="EK32" i="1"/>
  <c r="EK71" i="1"/>
  <c r="EK62" i="1"/>
  <c r="EK80" i="1"/>
  <c r="EK69" i="1"/>
  <c r="EK84" i="1"/>
  <c r="EK115" i="1"/>
  <c r="EK47" i="1"/>
  <c r="EK29" i="1"/>
  <c r="EK113" i="1"/>
  <c r="EK24" i="1"/>
  <c r="EL24" i="1" s="1"/>
  <c r="EK27" i="1"/>
  <c r="EL27" i="1" s="1"/>
  <c r="EK26" i="1"/>
  <c r="EL26" i="1" s="1"/>
  <c r="EK44" i="1"/>
  <c r="EK60" i="1"/>
  <c r="EK70" i="1"/>
  <c r="EK88" i="1"/>
  <c r="EK82" i="1"/>
  <c r="EK92" i="1"/>
  <c r="EK78" i="1"/>
  <c r="EK86" i="1"/>
  <c r="EK94" i="1"/>
  <c r="EK121" i="1"/>
  <c r="BC10" i="1"/>
  <c r="Q3" i="3" s="1"/>
  <c r="EK28" i="1"/>
  <c r="EK31" i="1"/>
  <c r="EK30" i="1"/>
  <c r="EK58" i="1"/>
  <c r="EK68" i="1"/>
  <c r="EK36" i="1"/>
  <c r="EK96" i="1"/>
  <c r="EK90" i="1"/>
  <c r="EK56" i="1"/>
  <c r="EK104" i="1"/>
  <c r="EK106" i="1"/>
  <c r="EK100" i="1"/>
  <c r="EK110" i="1"/>
  <c r="EK35" i="1"/>
  <c r="EK34" i="1"/>
  <c r="EK33" i="1"/>
  <c r="EK66" i="1"/>
  <c r="EK21" i="1"/>
  <c r="EL21" i="1" s="1"/>
  <c r="EK39" i="1"/>
  <c r="EK72" i="1"/>
  <c r="EK98" i="1"/>
  <c r="EK81" i="1"/>
  <c r="EK112" i="1"/>
  <c r="EK114" i="1"/>
  <c r="EK108" i="1"/>
  <c r="EK53" i="1"/>
  <c r="EK49" i="1"/>
  <c r="EK51" i="1"/>
  <c r="EK45" i="1"/>
  <c r="EK25" i="1"/>
  <c r="EL25" i="1" s="1"/>
  <c r="EK65" i="1"/>
  <c r="EK67" i="1"/>
  <c r="EK85" i="1"/>
  <c r="EK87" i="1"/>
  <c r="EK97" i="1"/>
  <c r="EK101" i="1"/>
  <c r="EK103" i="1"/>
  <c r="EK64" i="1"/>
  <c r="EK118" i="1"/>
  <c r="EK46" i="1"/>
  <c r="EK48" i="1"/>
  <c r="EK50" i="1"/>
  <c r="EK63" i="1"/>
  <c r="EK54" i="1"/>
  <c r="EK61" i="1"/>
  <c r="EK52" i="1"/>
  <c r="EK76" i="1"/>
  <c r="EK107" i="1"/>
  <c r="EK117" i="1"/>
  <c r="EK119" i="1"/>
  <c r="EK105" i="1"/>
  <c r="EK37" i="1"/>
  <c r="EK77" i="1"/>
  <c r="EK83" i="1"/>
  <c r="AW79" i="1"/>
  <c r="R22" i="1" s="1"/>
  <c r="EK74" i="1"/>
  <c r="EK79" i="1"/>
  <c r="EK116" i="1"/>
  <c r="EK55" i="1"/>
  <c r="EK95" i="1"/>
  <c r="EK91" i="1"/>
  <c r="EK41" i="1"/>
  <c r="EK57" i="1"/>
  <c r="EK89" i="1"/>
  <c r="EK102" i="1"/>
  <c r="EK38" i="1"/>
  <c r="EK73" i="1"/>
  <c r="EK99" i="1"/>
  <c r="EK40" i="1"/>
  <c r="EK42" i="1"/>
  <c r="EK111" i="1"/>
  <c r="EK43" i="1"/>
  <c r="EK59" i="1"/>
  <c r="EK120" i="1"/>
  <c r="EK75" i="1"/>
  <c r="EK109" i="1"/>
  <c r="EK93" i="1"/>
  <c r="R38" i="1"/>
  <c r="AT95" i="1"/>
  <c r="AV95" i="1" s="1"/>
  <c r="AX101" i="1"/>
  <c r="AX79" i="1"/>
  <c r="R42" i="1" s="1"/>
  <c r="BC11" i="1"/>
  <c r="Q4" i="3" s="1"/>
  <c r="AY89" i="1"/>
  <c r="R68" i="1" s="1"/>
  <c r="AY108" i="1"/>
  <c r="AY88" i="1"/>
  <c r="R67" i="1" s="1"/>
  <c r="AY109" i="1"/>
  <c r="AK8" i="1"/>
  <c r="AY11" i="1" s="1"/>
  <c r="AK7" i="1"/>
  <c r="AY10" i="1" s="1"/>
  <c r="AR90" i="1"/>
  <c r="AX83" i="1"/>
  <c r="AR110" i="1"/>
  <c r="W48" i="1" s="1"/>
  <c r="FP21" i="1"/>
  <c r="FQ21" i="1" s="1"/>
  <c r="FP116" i="1"/>
  <c r="FP101" i="1"/>
  <c r="FP68" i="1"/>
  <c r="FP24" i="1"/>
  <c r="FQ24" i="1" s="1"/>
  <c r="FP84" i="1"/>
  <c r="FP96" i="1"/>
  <c r="FP60" i="1"/>
  <c r="FP89" i="1"/>
  <c r="FP46" i="1"/>
  <c r="FP42" i="1"/>
  <c r="FP118" i="1"/>
  <c r="FP114" i="1"/>
  <c r="FP70" i="1"/>
  <c r="FP66" i="1"/>
  <c r="FP80" i="1"/>
  <c r="FP62" i="1"/>
  <c r="FP88" i="1"/>
  <c r="FP52" i="1"/>
  <c r="FP85" i="1"/>
  <c r="FP38" i="1"/>
  <c r="FP34" i="1"/>
  <c r="FP110" i="1"/>
  <c r="FP106" i="1"/>
  <c r="FP55" i="1"/>
  <c r="FP51" i="1"/>
  <c r="FP45" i="1"/>
  <c r="FP92" i="1"/>
  <c r="FP100" i="1"/>
  <c r="FP49" i="1"/>
  <c r="FP29" i="1"/>
  <c r="FP28" i="1"/>
  <c r="FP81" i="1"/>
  <c r="FP102" i="1"/>
  <c r="FP98" i="1"/>
  <c r="FP47" i="1"/>
  <c r="FP43" i="1"/>
  <c r="FP119" i="1"/>
  <c r="FP115" i="1"/>
  <c r="FP71" i="1"/>
  <c r="FP67" i="1"/>
  <c r="FP65" i="1"/>
  <c r="FP59" i="1"/>
  <c r="FP73" i="1"/>
  <c r="FP30" i="1"/>
  <c r="FP26" i="1"/>
  <c r="FP39" i="1"/>
  <c r="FP35" i="1"/>
  <c r="FP111" i="1"/>
  <c r="FP107" i="1"/>
  <c r="FP56" i="1"/>
  <c r="FP121" i="1"/>
  <c r="FP53" i="1"/>
  <c r="FP44" i="1"/>
  <c r="FP69" i="1"/>
  <c r="FP22" i="1"/>
  <c r="FQ22" i="1" s="1"/>
  <c r="FP117" i="1"/>
  <c r="FP94" i="1"/>
  <c r="FP90" i="1"/>
  <c r="FP103" i="1"/>
  <c r="FP99" i="1"/>
  <c r="FP48" i="1"/>
  <c r="FP77" i="1"/>
  <c r="FP72" i="1"/>
  <c r="FP78" i="1"/>
  <c r="FP74" i="1"/>
  <c r="FP86" i="1"/>
  <c r="FP82" i="1"/>
  <c r="FP31" i="1"/>
  <c r="FP27" i="1"/>
  <c r="FP40" i="1"/>
  <c r="FP37" i="1"/>
  <c r="FP112" i="1"/>
  <c r="FP63" i="1"/>
  <c r="FP41" i="1"/>
  <c r="FP57" i="1"/>
  <c r="FP79" i="1"/>
  <c r="FP75" i="1"/>
  <c r="FP87" i="1"/>
  <c r="FP83" i="1"/>
  <c r="FP32" i="1"/>
  <c r="FP108" i="1"/>
  <c r="FP25" i="1"/>
  <c r="FP58" i="1"/>
  <c r="FP97" i="1"/>
  <c r="FP54" i="1"/>
  <c r="FP50" i="1"/>
  <c r="FP23" i="1"/>
  <c r="FQ23" i="1" s="1"/>
  <c r="FP120" i="1"/>
  <c r="FP95" i="1"/>
  <c r="FP36" i="1"/>
  <c r="FP91" i="1"/>
  <c r="FP104" i="1"/>
  <c r="FP105" i="1"/>
  <c r="FP76" i="1"/>
  <c r="FP64" i="1"/>
  <c r="FP93" i="1"/>
  <c r="FP109" i="1"/>
  <c r="FP33" i="1"/>
  <c r="FP61" i="1"/>
  <c r="FP113" i="1"/>
  <c r="FY22" i="1"/>
  <c r="FY23" i="1"/>
  <c r="AR103" i="1"/>
  <c r="W41" i="1" s="1"/>
  <c r="BB59" i="1"/>
  <c r="BB60" i="1"/>
  <c r="AX103" i="1" s="1"/>
  <c r="R44" i="1" s="1"/>
  <c r="AR107" i="1"/>
  <c r="W45" i="1" s="1"/>
  <c r="AX102" i="1"/>
  <c r="R43" i="1" s="1"/>
  <c r="AR109" i="1"/>
  <c r="CB26" i="1"/>
  <c r="CE25" i="1"/>
  <c r="CI25" i="1"/>
  <c r="DJ24" i="1"/>
  <c r="DG25" i="1"/>
  <c r="DN24" i="1"/>
  <c r="FN25" i="1"/>
  <c r="FU24" i="1"/>
  <c r="EO26" i="1"/>
  <c r="EV26" i="1"/>
  <c r="FB26" i="1" s="1"/>
  <c r="ER26" i="1"/>
  <c r="EQ26" i="1"/>
  <c r="ET26" i="1"/>
  <c r="DW22" i="1"/>
  <c r="DX22" i="1" s="1"/>
  <c r="DL22" i="1"/>
  <c r="DH22" i="1" s="1"/>
  <c r="DE22" i="1" s="1"/>
  <c r="DD22" i="1" s="1"/>
  <c r="DQ22" i="1"/>
  <c r="DY22" i="1"/>
  <c r="DU22" i="1"/>
  <c r="DS22" i="1"/>
  <c r="FX21" i="1"/>
  <c r="FZ21" i="1"/>
  <c r="GB21" i="1"/>
  <c r="GD21" i="1"/>
  <c r="GE21" i="1" s="1"/>
  <c r="GF21" i="1"/>
  <c r="EW23" i="1"/>
  <c r="EU23" i="1"/>
  <c r="ES23" i="1"/>
  <c r="EY23" i="1"/>
  <c r="EZ23" i="1" s="1"/>
  <c r="FA23" i="1"/>
  <c r="EN23" i="1"/>
  <c r="EJ23" i="1" s="1"/>
  <c r="EG23" i="1" s="1"/>
  <c r="EF23" i="1" s="1"/>
  <c r="EI28" i="1"/>
  <c r="EP27" i="1"/>
  <c r="CG23" i="1"/>
  <c r="CC23" i="1" s="1"/>
  <c r="BZ23" i="1" s="1"/>
  <c r="BY23" i="1" s="1"/>
  <c r="CT23" i="1"/>
  <c r="CP23" i="1"/>
  <c r="CL23" i="1"/>
  <c r="CR23" i="1"/>
  <c r="CS23" i="1" s="1"/>
  <c r="CN23" i="1"/>
  <c r="BN53" i="20" l="1"/>
  <c r="FU266" i="1"/>
  <c r="GA266" i="1" s="1"/>
  <c r="GG266" i="1" s="1"/>
  <c r="FS266" i="1" s="1"/>
  <c r="FO266" i="1" s="1"/>
  <c r="FL266" i="1" s="1"/>
  <c r="FK266" i="1" s="1"/>
  <c r="EW264" i="1"/>
  <c r="EX264" i="1" s="1"/>
  <c r="BN35" i="20"/>
  <c r="DN261" i="1"/>
  <c r="DM261" i="1" s="1"/>
  <c r="DW261" i="1" s="1"/>
  <c r="DX261" i="1" s="1"/>
  <c r="FU262" i="1"/>
  <c r="GA262" i="1" s="1"/>
  <c r="GG262" i="1" s="1"/>
  <c r="FS262" i="1" s="1"/>
  <c r="FO262" i="1" s="1"/>
  <c r="FL262" i="1" s="1"/>
  <c r="FK262" i="1" s="1"/>
  <c r="AS101" i="1"/>
  <c r="AS82" i="1"/>
  <c r="BE78" i="1" s="1"/>
  <c r="AU95" i="1" s="1"/>
  <c r="AW95" i="1" s="1"/>
  <c r="DN260" i="1"/>
  <c r="DM260" i="1" s="1"/>
  <c r="DL260" i="1" s="1"/>
  <c r="DH260" i="1" s="1"/>
  <c r="DE260" i="1" s="1"/>
  <c r="DN263" i="1"/>
  <c r="DP263" i="1" s="1"/>
  <c r="FU260" i="1"/>
  <c r="FT260" i="1" s="1"/>
  <c r="GD260" i="1" s="1"/>
  <c r="GE260" i="1" s="1"/>
  <c r="L34" i="2"/>
  <c r="FU265" i="1"/>
  <c r="FT265" i="1" s="1"/>
  <c r="GB265" i="1" s="1"/>
  <c r="FU263" i="1"/>
  <c r="GA263" i="1" s="1"/>
  <c r="GG263" i="1" s="1"/>
  <c r="FS263" i="1" s="1"/>
  <c r="FO263" i="1" s="1"/>
  <c r="FL263" i="1" s="1"/>
  <c r="FK263" i="1" s="1"/>
  <c r="W58" i="1"/>
  <c r="F44" i="3"/>
  <c r="F85" i="3" s="1"/>
  <c r="DN264" i="1"/>
  <c r="DM264" i="1" s="1"/>
  <c r="DW264" i="1" s="1"/>
  <c r="DX264" i="1" s="1"/>
  <c r="DN262" i="1"/>
  <c r="DM262" i="1" s="1"/>
  <c r="DS262" i="1" s="1"/>
  <c r="FU264" i="1"/>
  <c r="GA264" i="1" s="1"/>
  <c r="GG264" i="1" s="1"/>
  <c r="FS264" i="1" s="1"/>
  <c r="FO264" i="1" s="1"/>
  <c r="FL264" i="1" s="1"/>
  <c r="FK264" i="1" s="1"/>
  <c r="AS79" i="1"/>
  <c r="W59" i="1" s="1"/>
  <c r="AS100" i="1"/>
  <c r="AS105" i="1" s="1"/>
  <c r="AS106" i="1" s="1"/>
  <c r="W64" i="1" s="1"/>
  <c r="FU261" i="1"/>
  <c r="BP35" i="20"/>
  <c r="BP36" i="20" s="1"/>
  <c r="EY25" i="1"/>
  <c r="EZ25" i="1" s="1"/>
  <c r="FA25" i="1"/>
  <c r="DW23" i="1"/>
  <c r="DX23" i="1" s="1"/>
  <c r="EN25" i="1"/>
  <c r="EJ25" i="1" s="1"/>
  <c r="EG25" i="1" s="1"/>
  <c r="EF25" i="1" s="1"/>
  <c r="EU25" i="1"/>
  <c r="EW25" i="1"/>
  <c r="EX25" i="1" s="1"/>
  <c r="CL21" i="1"/>
  <c r="CG21" i="1"/>
  <c r="CC21" i="1" s="1"/>
  <c r="BZ21" i="1" s="1"/>
  <c r="R18" i="1"/>
  <c r="CP21" i="1"/>
  <c r="CQ21" i="1" s="1"/>
  <c r="CT21" i="1"/>
  <c r="CN21" i="1"/>
  <c r="AW83" i="1"/>
  <c r="AQ90" i="1"/>
  <c r="EU24" i="1"/>
  <c r="ES24" i="1"/>
  <c r="EN24" i="1"/>
  <c r="EJ24" i="1" s="1"/>
  <c r="EG24" i="1" s="1"/>
  <c r="EF24" i="1" s="1"/>
  <c r="EY24" i="1"/>
  <c r="EZ24" i="1" s="1"/>
  <c r="FA24" i="1"/>
  <c r="EN22" i="1"/>
  <c r="EJ22" i="1" s="1"/>
  <c r="EG22" i="1" s="1"/>
  <c r="EF22" i="1" s="1"/>
  <c r="EY22" i="1"/>
  <c r="EZ22" i="1" s="1"/>
  <c r="EW22" i="1"/>
  <c r="EX22" i="1" s="1"/>
  <c r="DQ23" i="1"/>
  <c r="DU23" i="1"/>
  <c r="DV23" i="1" s="1"/>
  <c r="DS23" i="1"/>
  <c r="DL23" i="1"/>
  <c r="DH23" i="1" s="1"/>
  <c r="DE23" i="1" s="1"/>
  <c r="DD23" i="1" s="1"/>
  <c r="CR24" i="1"/>
  <c r="CS24" i="1" s="1"/>
  <c r="FA22" i="1"/>
  <c r="EU22" i="1"/>
  <c r="CN24" i="1"/>
  <c r="CL24" i="1"/>
  <c r="CP24" i="1"/>
  <c r="CQ24" i="1" s="1"/>
  <c r="CT24" i="1"/>
  <c r="AQ103" i="1"/>
  <c r="W21" i="1" s="1"/>
  <c r="GF23" i="1"/>
  <c r="AQ107" i="1"/>
  <c r="W25" i="1" s="1"/>
  <c r="AW102" i="1"/>
  <c r="R23" i="1" s="1"/>
  <c r="AQ109" i="1"/>
  <c r="W27" i="1" s="1"/>
  <c r="BA59" i="1"/>
  <c r="BA60" i="1"/>
  <c r="AW103" i="1" s="1"/>
  <c r="R24" i="1" s="1"/>
  <c r="FX23" i="1"/>
  <c r="FZ23" i="1"/>
  <c r="W47" i="1"/>
  <c r="GB23" i="1"/>
  <c r="GC23" i="1" s="1"/>
  <c r="CR141" i="1"/>
  <c r="CS141" i="1" s="1"/>
  <c r="CP263" i="1"/>
  <c r="CQ263" i="1" s="1"/>
  <c r="CP141" i="1"/>
  <c r="CQ141" i="1" s="1"/>
  <c r="DU21" i="1"/>
  <c r="DV21" i="1" s="1"/>
  <c r="DS21" i="1"/>
  <c r="DW21" i="1"/>
  <c r="DX21" i="1" s="1"/>
  <c r="DQ21" i="1"/>
  <c r="DL21" i="1"/>
  <c r="DH21" i="1" s="1"/>
  <c r="DE21" i="1" s="1"/>
  <c r="CG263" i="1"/>
  <c r="CC263" i="1" s="1"/>
  <c r="BZ263" i="1" s="1"/>
  <c r="BY263" i="1" s="1"/>
  <c r="EX144" i="1"/>
  <c r="CR263" i="1"/>
  <c r="CS263" i="1" s="1"/>
  <c r="CL263" i="1"/>
  <c r="CT263" i="1"/>
  <c r="FA141" i="1"/>
  <c r="EU264" i="1"/>
  <c r="CP142" i="1"/>
  <c r="CQ142" i="1" s="1"/>
  <c r="CN143" i="1"/>
  <c r="CN144" i="1"/>
  <c r="CL141" i="1"/>
  <c r="EW260" i="1"/>
  <c r="EX260" i="1" s="1"/>
  <c r="CT141" i="1"/>
  <c r="CG141" i="1"/>
  <c r="CC141" i="1" s="1"/>
  <c r="BZ141" i="1" s="1"/>
  <c r="BY141" i="1" s="1"/>
  <c r="EY265" i="1"/>
  <c r="EZ265" i="1" s="1"/>
  <c r="CL140" i="1"/>
  <c r="ES142" i="1"/>
  <c r="EY140" i="1"/>
  <c r="EZ140" i="1" s="1"/>
  <c r="EW140" i="1"/>
  <c r="EX140" i="1" s="1"/>
  <c r="CP262" i="1"/>
  <c r="CQ262" i="1" s="1"/>
  <c r="ES140" i="1"/>
  <c r="FA140" i="1"/>
  <c r="EN140" i="1"/>
  <c r="EJ140" i="1" s="1"/>
  <c r="EG140" i="1" s="1"/>
  <c r="CR22" i="1"/>
  <c r="CS22" i="1" s="1"/>
  <c r="CN22" i="1"/>
  <c r="EY21" i="1"/>
  <c r="EZ21" i="1" s="1"/>
  <c r="BH53" i="1"/>
  <c r="CN146" i="1"/>
  <c r="CG142" i="1"/>
  <c r="CC142" i="1" s="1"/>
  <c r="BZ142" i="1" s="1"/>
  <c r="BY142" i="1" s="1"/>
  <c r="CP265" i="1"/>
  <c r="CQ265" i="1" s="1"/>
  <c r="CR142" i="1"/>
  <c r="CS142" i="1" s="1"/>
  <c r="EY260" i="1"/>
  <c r="EZ260" i="1" s="1"/>
  <c r="EW141" i="1"/>
  <c r="EX141" i="1" s="1"/>
  <c r="CN265" i="1"/>
  <c r="EN141" i="1"/>
  <c r="EJ141" i="1" s="1"/>
  <c r="EG141" i="1" s="1"/>
  <c r="EF141" i="1" s="1"/>
  <c r="CR265" i="1"/>
  <c r="CS265" i="1" s="1"/>
  <c r="CL142" i="1"/>
  <c r="EN260" i="1"/>
  <c r="EJ260" i="1" s="1"/>
  <c r="EG260" i="1" s="1"/>
  <c r="CG143" i="1"/>
  <c r="CC143" i="1" s="1"/>
  <c r="BZ143" i="1" s="1"/>
  <c r="BY143" i="1" s="1"/>
  <c r="EY264" i="1"/>
  <c r="EZ264" i="1" s="1"/>
  <c r="CL265" i="1"/>
  <c r="ES260" i="1"/>
  <c r="CP143" i="1"/>
  <c r="CQ143" i="1" s="1"/>
  <c r="FA264" i="1"/>
  <c r="CT265" i="1"/>
  <c r="FA260" i="1"/>
  <c r="EU141" i="1"/>
  <c r="CR143" i="1"/>
  <c r="CS143" i="1" s="1"/>
  <c r="CT142" i="1"/>
  <c r="ES141" i="1"/>
  <c r="CL143" i="1"/>
  <c r="EN264" i="1"/>
  <c r="EJ264" i="1" s="1"/>
  <c r="EG264" i="1" s="1"/>
  <c r="EF264" i="1" s="1"/>
  <c r="ES265" i="1"/>
  <c r="EN265" i="1"/>
  <c r="EJ265" i="1" s="1"/>
  <c r="EG265" i="1" s="1"/>
  <c r="EF265" i="1" s="1"/>
  <c r="EW265" i="1"/>
  <c r="EX265" i="1" s="1"/>
  <c r="CP145" i="1"/>
  <c r="CQ145" i="1" s="1"/>
  <c r="CT145" i="1"/>
  <c r="CR145" i="1"/>
  <c r="CS145" i="1" s="1"/>
  <c r="EU265" i="1"/>
  <c r="CL145" i="1"/>
  <c r="CG145" i="1"/>
  <c r="CC145" i="1" s="1"/>
  <c r="BZ145" i="1" s="1"/>
  <c r="BY145" i="1" s="1"/>
  <c r="FA142" i="1"/>
  <c r="CR140" i="1"/>
  <c r="CS140" i="1" s="1"/>
  <c r="EU142" i="1"/>
  <c r="CT140" i="1"/>
  <c r="EY142" i="1"/>
  <c r="EZ142" i="1" s="1"/>
  <c r="CN140" i="1"/>
  <c r="EN142" i="1"/>
  <c r="EJ142" i="1" s="1"/>
  <c r="EG142" i="1" s="1"/>
  <c r="EF142" i="1" s="1"/>
  <c r="CG140" i="1"/>
  <c r="CC140" i="1" s="1"/>
  <c r="BZ140" i="1" s="1"/>
  <c r="EN21" i="1"/>
  <c r="EJ21" i="1" s="1"/>
  <c r="EG21" i="1" s="1"/>
  <c r="EU21" i="1"/>
  <c r="FA21" i="1"/>
  <c r="ES21" i="1"/>
  <c r="AQ84" i="1"/>
  <c r="CG22" i="1"/>
  <c r="CC22" i="1" s="1"/>
  <c r="BZ22" i="1" s="1"/>
  <c r="BY22" i="1" s="1"/>
  <c r="FX22" i="1"/>
  <c r="EX145" i="1"/>
  <c r="CG262" i="1"/>
  <c r="CC262" i="1" s="1"/>
  <c r="BZ262" i="1" s="1"/>
  <c r="BY262" i="1" s="1"/>
  <c r="CT264" i="1"/>
  <c r="CT22" i="1"/>
  <c r="ES263" i="1"/>
  <c r="CP264" i="1"/>
  <c r="CQ264" i="1" s="1"/>
  <c r="CL264" i="1"/>
  <c r="CL22" i="1"/>
  <c r="FZ22" i="1"/>
  <c r="CT262" i="1"/>
  <c r="CR264" i="1"/>
  <c r="CS264" i="1" s="1"/>
  <c r="GD22" i="1"/>
  <c r="GE22" i="1" s="1"/>
  <c r="CR262" i="1"/>
  <c r="CS262" i="1" s="1"/>
  <c r="GF22" i="1"/>
  <c r="CL262" i="1"/>
  <c r="CG264" i="1"/>
  <c r="CC264" i="1" s="1"/>
  <c r="BZ264" i="1" s="1"/>
  <c r="BY264" i="1" s="1"/>
  <c r="EX261" i="1"/>
  <c r="CQ23" i="1"/>
  <c r="GC22" i="1"/>
  <c r="FA263" i="1"/>
  <c r="EN263" i="1"/>
  <c r="EJ263" i="1" s="1"/>
  <c r="EG263" i="1" s="1"/>
  <c r="EF263" i="1" s="1"/>
  <c r="EX23" i="1"/>
  <c r="EX24" i="1"/>
  <c r="EX143" i="1"/>
  <c r="GC21" i="1"/>
  <c r="EX21" i="1"/>
  <c r="DV22" i="1"/>
  <c r="CQ140" i="1"/>
  <c r="EX262" i="1"/>
  <c r="CQ261" i="1"/>
  <c r="EU263" i="1"/>
  <c r="EX142" i="1"/>
  <c r="EW263" i="1"/>
  <c r="EX263" i="1" s="1"/>
  <c r="CQ22" i="1"/>
  <c r="CQ260" i="1"/>
  <c r="CT144" i="1"/>
  <c r="CG144" i="1"/>
  <c r="CC144" i="1" s="1"/>
  <c r="BZ144" i="1" s="1"/>
  <c r="BY144" i="1" s="1"/>
  <c r="CP144" i="1"/>
  <c r="CQ144" i="1" s="1"/>
  <c r="CR144" i="1"/>
  <c r="CS144" i="1" s="1"/>
  <c r="CP146" i="1"/>
  <c r="CQ146" i="1" s="1"/>
  <c r="CR146" i="1"/>
  <c r="CS146" i="1" s="1"/>
  <c r="CG146" i="1"/>
  <c r="CC146" i="1" s="1"/>
  <c r="BZ146" i="1" s="1"/>
  <c r="BY146" i="1" s="1"/>
  <c r="CL146" i="1"/>
  <c r="DO265" i="1"/>
  <c r="DT265" i="1"/>
  <c r="DZ265" i="1" s="1"/>
  <c r="DP265" i="1"/>
  <c r="DR265" i="1"/>
  <c r="DJ266" i="1"/>
  <c r="DN266" i="1"/>
  <c r="DO144" i="1"/>
  <c r="DP144" i="1"/>
  <c r="DR144" i="1"/>
  <c r="DT144" i="1"/>
  <c r="DZ144" i="1" s="1"/>
  <c r="DM144" i="1"/>
  <c r="DG146" i="1"/>
  <c r="DJ145" i="1"/>
  <c r="DN145" i="1"/>
  <c r="FV144" i="1"/>
  <c r="FW144" i="1"/>
  <c r="FY144" i="1"/>
  <c r="FT144" i="1"/>
  <c r="GA144" i="1"/>
  <c r="GG144" i="1" s="1"/>
  <c r="FS144" i="1" s="1"/>
  <c r="FO144" i="1" s="1"/>
  <c r="FL144" i="1" s="1"/>
  <c r="FK144" i="1" s="1"/>
  <c r="FQ145" i="1"/>
  <c r="FU145" i="1"/>
  <c r="FN146" i="1"/>
  <c r="DW143" i="1"/>
  <c r="DX143" i="1" s="1"/>
  <c r="DQ143" i="1"/>
  <c r="DY143" i="1"/>
  <c r="DS143" i="1"/>
  <c r="DL143" i="1"/>
  <c r="DH143" i="1" s="1"/>
  <c r="DE143" i="1" s="1"/>
  <c r="DD143" i="1" s="1"/>
  <c r="DU143" i="1"/>
  <c r="DV143" i="1" s="1"/>
  <c r="DL265" i="1"/>
  <c r="DU265" i="1"/>
  <c r="DQ265" i="1"/>
  <c r="DY265" i="1"/>
  <c r="DW265" i="1"/>
  <c r="DX265" i="1" s="1"/>
  <c r="DS265" i="1"/>
  <c r="FQ267" i="1"/>
  <c r="FU267" i="1"/>
  <c r="FN268" i="1"/>
  <c r="ER267" i="1"/>
  <c r="EO267" i="1"/>
  <c r="EV267" i="1"/>
  <c r="FB267" i="1" s="1"/>
  <c r="ET267" i="1"/>
  <c r="EQ267" i="1"/>
  <c r="CG266" i="1"/>
  <c r="CC266" i="1" s="1"/>
  <c r="BZ266" i="1" s="1"/>
  <c r="BY266" i="1" s="1"/>
  <c r="CT266" i="1"/>
  <c r="CL266" i="1"/>
  <c r="CR266" i="1"/>
  <c r="CS266" i="1" s="1"/>
  <c r="CP266" i="1"/>
  <c r="CQ266" i="1" s="1"/>
  <c r="CN266" i="1"/>
  <c r="EI269" i="1"/>
  <c r="EP268" i="1"/>
  <c r="EL268" i="1"/>
  <c r="CO267" i="1"/>
  <c r="CU267" i="1" s="1"/>
  <c r="CM267" i="1"/>
  <c r="CK267" i="1"/>
  <c r="CJ267" i="1"/>
  <c r="CH267" i="1"/>
  <c r="EW266" i="1"/>
  <c r="EX266" i="1" s="1"/>
  <c r="EN266" i="1"/>
  <c r="EJ266" i="1" s="1"/>
  <c r="EG266" i="1" s="1"/>
  <c r="EF266" i="1" s="1"/>
  <c r="FA266" i="1"/>
  <c r="EY266" i="1"/>
  <c r="EZ266" i="1" s="1"/>
  <c r="EU266" i="1"/>
  <c r="ES266" i="1"/>
  <c r="CB269" i="1"/>
  <c r="CI268" i="1"/>
  <c r="CE268" i="1"/>
  <c r="DG267" i="1"/>
  <c r="CM148" i="1"/>
  <c r="CO148" i="1"/>
  <c r="CU148" i="1" s="1"/>
  <c r="CK148" i="1"/>
  <c r="CJ148" i="1"/>
  <c r="CH148" i="1"/>
  <c r="EP148" i="1"/>
  <c r="EL148" i="1"/>
  <c r="EI149" i="1"/>
  <c r="CI149" i="1"/>
  <c r="CB150" i="1"/>
  <c r="CE149" i="1"/>
  <c r="EO147" i="1"/>
  <c r="ET147" i="1"/>
  <c r="ER147" i="1"/>
  <c r="EQ147" i="1"/>
  <c r="EV147" i="1"/>
  <c r="FB147" i="1" s="1"/>
  <c r="EW146" i="1"/>
  <c r="EX146" i="1" s="1"/>
  <c r="ES146" i="1"/>
  <c r="FA146" i="1"/>
  <c r="EN146" i="1"/>
  <c r="EJ146" i="1" s="1"/>
  <c r="EG146" i="1" s="1"/>
  <c r="EF146" i="1" s="1"/>
  <c r="EU146" i="1"/>
  <c r="EY146" i="1"/>
  <c r="EZ146" i="1" s="1"/>
  <c r="CT147" i="1"/>
  <c r="CL147" i="1"/>
  <c r="CR147" i="1"/>
  <c r="CS147" i="1" s="1"/>
  <c r="CG147" i="1"/>
  <c r="CC147" i="1" s="1"/>
  <c r="BZ147" i="1" s="1"/>
  <c r="BY147" i="1" s="1"/>
  <c r="CP147" i="1"/>
  <c r="CQ147" i="1" s="1"/>
  <c r="CN147" i="1"/>
  <c r="AS35" i="20"/>
  <c r="BO36" i="20"/>
  <c r="BN54" i="20"/>
  <c r="AR53" i="20"/>
  <c r="BP70" i="20"/>
  <c r="AT69" i="20"/>
  <c r="BO70" i="20"/>
  <c r="AS69" i="20"/>
  <c r="AR79" i="20" s="1"/>
  <c r="AR70" i="20"/>
  <c r="BN71" i="20"/>
  <c r="AS52" i="20"/>
  <c r="BO53" i="20"/>
  <c r="BP53" i="20"/>
  <c r="AT52" i="20"/>
  <c r="AR35" i="20"/>
  <c r="BN36" i="20"/>
  <c r="AR108" i="1"/>
  <c r="AW88" i="1"/>
  <c r="R27" i="1" s="1"/>
  <c r="AW108" i="1"/>
  <c r="AW109" i="1"/>
  <c r="AW89" i="1"/>
  <c r="R28" i="1" s="1"/>
  <c r="AX88" i="1"/>
  <c r="R47" i="1" s="1"/>
  <c r="AX109" i="1"/>
  <c r="AX89" i="1"/>
  <c r="R48" i="1" s="1"/>
  <c r="AX108" i="1"/>
  <c r="BD106" i="1"/>
  <c r="BD86" i="1"/>
  <c r="T53" i="1" s="1"/>
  <c r="AR104" i="1"/>
  <c r="AP57" i="18"/>
  <c r="AS52" i="18"/>
  <c r="AT52" i="18"/>
  <c r="G43" i="18"/>
  <c r="AP58" i="18"/>
  <c r="AO57" i="18"/>
  <c r="AO58" i="18" s="1"/>
  <c r="AO59" i="18" s="1"/>
  <c r="AO60" i="18" s="1"/>
  <c r="AR46" i="18"/>
  <c r="AT46" i="18" s="1"/>
  <c r="I42" i="18" s="1"/>
  <c r="I43" i="18" s="1"/>
  <c r="AR39" i="18"/>
  <c r="AS39" i="18" s="1"/>
  <c r="AU39" i="18" s="1"/>
  <c r="AV39" i="18" s="1"/>
  <c r="AS46" i="18" s="1"/>
  <c r="AU46" i="18" s="1"/>
  <c r="J42" i="18" s="1"/>
  <c r="J43" i="18" s="1"/>
  <c r="ET27" i="1"/>
  <c r="EO27" i="1"/>
  <c r="EV27" i="1"/>
  <c r="FB27" i="1" s="1"/>
  <c r="ER27" i="1"/>
  <c r="EQ27" i="1"/>
  <c r="CM25" i="1"/>
  <c r="CJ25" i="1"/>
  <c r="CK25" i="1"/>
  <c r="CO25" i="1"/>
  <c r="CU25" i="1" s="1"/>
  <c r="CH25" i="1"/>
  <c r="AR95" i="1"/>
  <c r="BC86" i="1"/>
  <c r="T33" i="1" s="1"/>
  <c r="BC106" i="1"/>
  <c r="FW24" i="1"/>
  <c r="FY24" i="1"/>
  <c r="GA24" i="1"/>
  <c r="GG24" i="1" s="1"/>
  <c r="FS24" i="1" s="1"/>
  <c r="FO24" i="1" s="1"/>
  <c r="FL24" i="1" s="1"/>
  <c r="FK24" i="1" s="1"/>
  <c r="FT24" i="1"/>
  <c r="FV24" i="1"/>
  <c r="CE26" i="1"/>
  <c r="CB27" i="1"/>
  <c r="CI26" i="1"/>
  <c r="EN26" i="1"/>
  <c r="EJ26" i="1" s="1"/>
  <c r="EG26" i="1" s="1"/>
  <c r="EF26" i="1" s="1"/>
  <c r="EW26" i="1"/>
  <c r="EX26" i="1" s="1"/>
  <c r="ES26" i="1"/>
  <c r="EU26" i="1"/>
  <c r="EY26" i="1"/>
  <c r="EZ26" i="1" s="1"/>
  <c r="FA26" i="1"/>
  <c r="FN26" i="1"/>
  <c r="FQ25" i="1"/>
  <c r="FU25" i="1"/>
  <c r="DO24" i="1"/>
  <c r="DT24" i="1"/>
  <c r="DZ24" i="1" s="1"/>
  <c r="DP24" i="1"/>
  <c r="DR24" i="1"/>
  <c r="DM24" i="1"/>
  <c r="DJ25" i="1"/>
  <c r="DG26" i="1"/>
  <c r="DN25" i="1"/>
  <c r="BG53" i="1"/>
  <c r="EI29" i="1"/>
  <c r="EL28" i="1"/>
  <c r="EP28" i="1"/>
  <c r="FV266" i="1" l="1"/>
  <c r="FW266" i="1"/>
  <c r="FY266" i="1"/>
  <c r="FT266" i="1"/>
  <c r="GD266" i="1" s="1"/>
  <c r="GE266" i="1" s="1"/>
  <c r="DL261" i="1"/>
  <c r="DH261" i="1" s="1"/>
  <c r="DE261" i="1" s="1"/>
  <c r="DD261" i="1" s="1"/>
  <c r="GF265" i="1"/>
  <c r="DU261" i="1"/>
  <c r="DV261" i="1" s="1"/>
  <c r="DU260" i="1"/>
  <c r="DV260" i="1" s="1"/>
  <c r="DQ260" i="1"/>
  <c r="DS260" i="1"/>
  <c r="DW260" i="1"/>
  <c r="DX260" i="1" s="1"/>
  <c r="DY260" i="1"/>
  <c r="DY262" i="1"/>
  <c r="AT35" i="20"/>
  <c r="DV265" i="1"/>
  <c r="GC265" i="1"/>
  <c r="FZ260" i="1"/>
  <c r="DS261" i="1"/>
  <c r="FY260" i="1"/>
  <c r="GA260" i="1"/>
  <c r="GG260" i="1" s="1"/>
  <c r="FS260" i="1" s="1"/>
  <c r="FO260" i="1" s="1"/>
  <c r="FL260" i="1" s="1"/>
  <c r="DY261" i="1"/>
  <c r="FX260" i="1"/>
  <c r="FV264" i="1"/>
  <c r="FW260" i="1"/>
  <c r="DQ261" i="1"/>
  <c r="GB260" i="1"/>
  <c r="GC260" i="1" s="1"/>
  <c r="FT262" i="1"/>
  <c r="FX262" i="1" s="1"/>
  <c r="GF260" i="1"/>
  <c r="F64" i="3"/>
  <c r="FV260" i="1"/>
  <c r="FY262" i="1"/>
  <c r="DT263" i="1"/>
  <c r="DZ263" i="1" s="1"/>
  <c r="DO263" i="1"/>
  <c r="W63" i="1"/>
  <c r="FT264" i="1"/>
  <c r="FX264" i="1" s="1"/>
  <c r="FW264" i="1"/>
  <c r="AS87" i="1"/>
  <c r="AS88" i="1" s="1"/>
  <c r="F99" i="3"/>
  <c r="FY263" i="1"/>
  <c r="F78" i="3"/>
  <c r="FT263" i="1"/>
  <c r="GF263" i="1" s="1"/>
  <c r="F68" i="3"/>
  <c r="FY264" i="1"/>
  <c r="F60" i="3"/>
  <c r="FV262" i="1"/>
  <c r="F98" i="3"/>
  <c r="DR260" i="1"/>
  <c r="BE101" i="1"/>
  <c r="F50" i="3"/>
  <c r="F49" i="3"/>
  <c r="F67" i="3"/>
  <c r="DT261" i="1"/>
  <c r="DZ261" i="1" s="1"/>
  <c r="DT260" i="1"/>
  <c r="DZ260" i="1" s="1"/>
  <c r="BE79" i="1"/>
  <c r="R59" i="1" s="1"/>
  <c r="F58" i="3"/>
  <c r="F107" i="3"/>
  <c r="F59" i="3"/>
  <c r="DO261" i="1"/>
  <c r="F54" i="3"/>
  <c r="F93" i="3"/>
  <c r="F55" i="3"/>
  <c r="FY265" i="1"/>
  <c r="F97" i="3"/>
  <c r="F57" i="3"/>
  <c r="F105" i="3"/>
  <c r="DR261" i="1"/>
  <c r="DP261" i="1"/>
  <c r="FW262" i="1"/>
  <c r="BE100" i="1"/>
  <c r="F62" i="3"/>
  <c r="F106" i="3"/>
  <c r="F94" i="3"/>
  <c r="DR262" i="1"/>
  <c r="F91" i="3"/>
  <c r="F88" i="3"/>
  <c r="DS264" i="1"/>
  <c r="DY264" i="1"/>
  <c r="DU264" i="1"/>
  <c r="DV264" i="1" s="1"/>
  <c r="DP264" i="1"/>
  <c r="DL264" i="1"/>
  <c r="DH264" i="1" s="1"/>
  <c r="DE264" i="1" s="1"/>
  <c r="DD264" i="1" s="1"/>
  <c r="BE86" i="1"/>
  <c r="T73" i="1" s="1"/>
  <c r="BE106" i="1"/>
  <c r="DO264" i="1"/>
  <c r="DT262" i="1"/>
  <c r="DZ262" i="1" s="1"/>
  <c r="FV265" i="1"/>
  <c r="AY82" i="1"/>
  <c r="AZ71" i="1"/>
  <c r="F76" i="3"/>
  <c r="F92" i="3"/>
  <c r="F53" i="3"/>
  <c r="F56" i="3"/>
  <c r="F77" i="3"/>
  <c r="F74" i="3"/>
  <c r="FZ265" i="1"/>
  <c r="DP262" i="1"/>
  <c r="FW265" i="1"/>
  <c r="AS89" i="1"/>
  <c r="BC56" i="1"/>
  <c r="F96" i="3"/>
  <c r="F71" i="3"/>
  <c r="F90" i="3"/>
  <c r="F73" i="3"/>
  <c r="F48" i="3"/>
  <c r="F89" i="3"/>
  <c r="FW263" i="1"/>
  <c r="FV263" i="1"/>
  <c r="DQ262" i="1"/>
  <c r="FX265" i="1"/>
  <c r="DW262" i="1"/>
  <c r="DX262" i="1" s="1"/>
  <c r="GD265" i="1"/>
  <c r="GE265" i="1" s="1"/>
  <c r="DQ264" i="1"/>
  <c r="DP260" i="1"/>
  <c r="DO260" i="1"/>
  <c r="GA265" i="1"/>
  <c r="GG265" i="1" s="1"/>
  <c r="FS265" i="1" s="1"/>
  <c r="FO265" i="1" s="1"/>
  <c r="FL265" i="1" s="1"/>
  <c r="FK265" i="1" s="1"/>
  <c r="BC53" i="1"/>
  <c r="AY83" i="1" s="1"/>
  <c r="F84" i="3"/>
  <c r="F81" i="3"/>
  <c r="F95" i="3"/>
  <c r="F70" i="3"/>
  <c r="F86" i="3"/>
  <c r="DU262" i="1"/>
  <c r="DV262" i="1" s="1"/>
  <c r="AS102" i="1"/>
  <c r="AS107" i="1" s="1"/>
  <c r="W65" i="1" s="1"/>
  <c r="F51" i="3"/>
  <c r="F100" i="3"/>
  <c r="F101" i="3"/>
  <c r="F87" i="3"/>
  <c r="DM263" i="1"/>
  <c r="DR263" i="1"/>
  <c r="DL262" i="1"/>
  <c r="DH262" i="1" s="1"/>
  <c r="DE262" i="1" s="1"/>
  <c r="DD262" i="1" s="1"/>
  <c r="DR264" i="1"/>
  <c r="DT264" i="1"/>
  <c r="DZ264" i="1" s="1"/>
  <c r="DO262" i="1"/>
  <c r="BC52" i="1"/>
  <c r="AS83" i="1"/>
  <c r="AS84" i="1" s="1"/>
  <c r="GA261" i="1"/>
  <c r="GG261" i="1" s="1"/>
  <c r="FS261" i="1" s="1"/>
  <c r="FO261" i="1" s="1"/>
  <c r="FL261" i="1" s="1"/>
  <c r="FK261" i="1" s="1"/>
  <c r="FY261" i="1"/>
  <c r="FV261" i="1"/>
  <c r="FT261" i="1"/>
  <c r="FW261" i="1"/>
  <c r="F80" i="3"/>
  <c r="F69" i="3"/>
  <c r="F102" i="3"/>
  <c r="F61" i="3"/>
  <c r="F79" i="3"/>
  <c r="F104" i="3"/>
  <c r="F63" i="3"/>
  <c r="F75" i="3"/>
  <c r="F83" i="3"/>
  <c r="F82" i="3"/>
  <c r="F65" i="3"/>
  <c r="F66" i="3"/>
  <c r="F47" i="3"/>
  <c r="F72" i="3"/>
  <c r="F108" i="3"/>
  <c r="F52" i="3"/>
  <c r="F103" i="3"/>
  <c r="R58" i="1"/>
  <c r="AQ104" i="1"/>
  <c r="W22" i="1" s="1"/>
  <c r="AQ108" i="1"/>
  <c r="W26" i="1" s="1"/>
  <c r="W42" i="1"/>
  <c r="W46" i="1"/>
  <c r="AU52" i="18"/>
  <c r="FV145" i="1"/>
  <c r="FY145" i="1"/>
  <c r="FW145" i="1"/>
  <c r="FT145" i="1"/>
  <c r="GA145" i="1"/>
  <c r="GG145" i="1" s="1"/>
  <c r="FS145" i="1" s="1"/>
  <c r="FO145" i="1" s="1"/>
  <c r="FL145" i="1" s="1"/>
  <c r="FK145" i="1" s="1"/>
  <c r="DG147" i="1"/>
  <c r="DJ146" i="1"/>
  <c r="DN146" i="1"/>
  <c r="DO266" i="1"/>
  <c r="DR266" i="1"/>
  <c r="DM266" i="1"/>
  <c r="DP266" i="1"/>
  <c r="DT266" i="1"/>
  <c r="DZ266" i="1" s="1"/>
  <c r="GB144" i="1"/>
  <c r="GC144" i="1" s="1"/>
  <c r="GF144" i="1"/>
  <c r="GD144" i="1"/>
  <c r="GE144" i="1" s="1"/>
  <c r="FX144" i="1"/>
  <c r="FZ144" i="1"/>
  <c r="DQ144" i="1"/>
  <c r="DY144" i="1"/>
  <c r="DW144" i="1"/>
  <c r="DX144" i="1" s="1"/>
  <c r="DS144" i="1"/>
  <c r="DL144" i="1"/>
  <c r="DH144" i="1" s="1"/>
  <c r="DE144" i="1" s="1"/>
  <c r="DD144" i="1" s="1"/>
  <c r="DU144" i="1"/>
  <c r="DV144" i="1" s="1"/>
  <c r="FQ268" i="1"/>
  <c r="FU268" i="1"/>
  <c r="GA267" i="1"/>
  <c r="GG267" i="1" s="1"/>
  <c r="FS267" i="1" s="1"/>
  <c r="FO267" i="1" s="1"/>
  <c r="FL267" i="1" s="1"/>
  <c r="FK267" i="1" s="1"/>
  <c r="FV267" i="1"/>
  <c r="FY267" i="1"/>
  <c r="FW267" i="1"/>
  <c r="FT267" i="1"/>
  <c r="DR145" i="1"/>
  <c r="DT145" i="1"/>
  <c r="DZ145" i="1" s="1"/>
  <c r="DM145" i="1"/>
  <c r="DO145" i="1"/>
  <c r="DP145" i="1"/>
  <c r="DJ267" i="1"/>
  <c r="DN267" i="1"/>
  <c r="GF266" i="1"/>
  <c r="FZ266" i="1"/>
  <c r="FQ146" i="1"/>
  <c r="FU146" i="1"/>
  <c r="FN147" i="1"/>
  <c r="ER268" i="1"/>
  <c r="EO268" i="1"/>
  <c r="EV268" i="1"/>
  <c r="FB268" i="1" s="1"/>
  <c r="ET268" i="1"/>
  <c r="EQ268" i="1"/>
  <c r="EW267" i="1"/>
  <c r="EX267" i="1" s="1"/>
  <c r="EN267" i="1"/>
  <c r="EJ267" i="1" s="1"/>
  <c r="EG267" i="1" s="1"/>
  <c r="EF267" i="1" s="1"/>
  <c r="FA267" i="1"/>
  <c r="EY267" i="1"/>
  <c r="EZ267" i="1" s="1"/>
  <c r="EU267" i="1"/>
  <c r="ES267" i="1"/>
  <c r="CO268" i="1"/>
  <c r="CU268" i="1" s="1"/>
  <c r="CM268" i="1"/>
  <c r="CK268" i="1"/>
  <c r="CJ268" i="1"/>
  <c r="CH268" i="1"/>
  <c r="EI270" i="1"/>
  <c r="EP269" i="1"/>
  <c r="EL269" i="1"/>
  <c r="CB270" i="1"/>
  <c r="CI269" i="1"/>
  <c r="CE269" i="1"/>
  <c r="CG267" i="1"/>
  <c r="CC267" i="1" s="1"/>
  <c r="BZ267" i="1" s="1"/>
  <c r="BY267" i="1" s="1"/>
  <c r="CT267" i="1"/>
  <c r="CL267" i="1"/>
  <c r="CN267" i="1"/>
  <c r="CR267" i="1"/>
  <c r="CS267" i="1" s="1"/>
  <c r="CP267" i="1"/>
  <c r="CQ267" i="1" s="1"/>
  <c r="DH265" i="1"/>
  <c r="DE265" i="1" s="1"/>
  <c r="DD265" i="1" s="1"/>
  <c r="DG268" i="1"/>
  <c r="FN269" i="1"/>
  <c r="CI150" i="1"/>
  <c r="CE150" i="1"/>
  <c r="CB151" i="1"/>
  <c r="CT148" i="1"/>
  <c r="CL148" i="1"/>
  <c r="CP148" i="1"/>
  <c r="CQ148" i="1" s="1"/>
  <c r="CR148" i="1"/>
  <c r="CS148" i="1" s="1"/>
  <c r="CN148" i="1"/>
  <c r="CG148" i="1"/>
  <c r="CC148" i="1" s="1"/>
  <c r="BZ148" i="1" s="1"/>
  <c r="BY148" i="1" s="1"/>
  <c r="CM149" i="1"/>
  <c r="CO149" i="1"/>
  <c r="CU149" i="1" s="1"/>
  <c r="CK149" i="1"/>
  <c r="CJ149" i="1"/>
  <c r="CH149" i="1"/>
  <c r="EP149" i="1"/>
  <c r="EL149" i="1"/>
  <c r="EI150" i="1"/>
  <c r="EW147" i="1"/>
  <c r="EX147" i="1" s="1"/>
  <c r="ES147" i="1"/>
  <c r="FA147" i="1"/>
  <c r="EN147" i="1"/>
  <c r="EJ147" i="1" s="1"/>
  <c r="EG147" i="1" s="1"/>
  <c r="EF147" i="1" s="1"/>
  <c r="EY147" i="1"/>
  <c r="EZ147" i="1" s="1"/>
  <c r="EU147" i="1"/>
  <c r="EO148" i="1"/>
  <c r="ET148" i="1"/>
  <c r="EQ148" i="1"/>
  <c r="ER148" i="1"/>
  <c r="EV148" i="1"/>
  <c r="FB148" i="1" s="1"/>
  <c r="AS70" i="20"/>
  <c r="BO71" i="20"/>
  <c r="AT53" i="20"/>
  <c r="BP54" i="20"/>
  <c r="BP71" i="20"/>
  <c r="AT70" i="20"/>
  <c r="AS53" i="20"/>
  <c r="BO54" i="20"/>
  <c r="BN55" i="20"/>
  <c r="AR54" i="20"/>
  <c r="AR71" i="20"/>
  <c r="BN72" i="20"/>
  <c r="BO37" i="20"/>
  <c r="AS36" i="20"/>
  <c r="AT36" i="20"/>
  <c r="BP37" i="20"/>
  <c r="AR36" i="20"/>
  <c r="BN37" i="20"/>
  <c r="AW39" i="18"/>
  <c r="H42" i="18"/>
  <c r="ES27" i="1"/>
  <c r="FA27" i="1"/>
  <c r="EN27" i="1"/>
  <c r="EJ27" i="1" s="1"/>
  <c r="EG27" i="1" s="1"/>
  <c r="EF27" i="1" s="1"/>
  <c r="EW27" i="1"/>
  <c r="EX27" i="1" s="1"/>
  <c r="EY27" i="1"/>
  <c r="EZ27" i="1" s="1"/>
  <c r="EU27" i="1"/>
  <c r="FQ26" i="1"/>
  <c r="FN27" i="1"/>
  <c r="FU26" i="1"/>
  <c r="ET28" i="1"/>
  <c r="EO28" i="1"/>
  <c r="EV28" i="1"/>
  <c r="FB28" i="1" s="1"/>
  <c r="ER28" i="1"/>
  <c r="EQ28" i="1"/>
  <c r="DO25" i="1"/>
  <c r="DP25" i="1"/>
  <c r="DR25" i="1"/>
  <c r="DM25" i="1"/>
  <c r="DT25" i="1"/>
  <c r="DZ25" i="1" s="1"/>
  <c r="FV25" i="1"/>
  <c r="GA25" i="1"/>
  <c r="GG25" i="1" s="1"/>
  <c r="FS25" i="1" s="1"/>
  <c r="FO25" i="1" s="1"/>
  <c r="FL25" i="1" s="1"/>
  <c r="FK25" i="1" s="1"/>
  <c r="FT25" i="1"/>
  <c r="FY25" i="1"/>
  <c r="FW25" i="1"/>
  <c r="CP25" i="1"/>
  <c r="CQ25" i="1" s="1"/>
  <c r="CR25" i="1"/>
  <c r="CS25" i="1" s="1"/>
  <c r="CG25" i="1"/>
  <c r="CC25" i="1" s="1"/>
  <c r="BZ25" i="1" s="1"/>
  <c r="BY25" i="1" s="1"/>
  <c r="CT25" i="1"/>
  <c r="CL25" i="1"/>
  <c r="CN25" i="1"/>
  <c r="DJ26" i="1"/>
  <c r="DG27" i="1"/>
  <c r="DN26" i="1"/>
  <c r="GF24" i="1"/>
  <c r="FZ24" i="1"/>
  <c r="GB24" i="1"/>
  <c r="GC24" i="1" s="1"/>
  <c r="FX24" i="1"/>
  <c r="GD24" i="1"/>
  <c r="GE24" i="1" s="1"/>
  <c r="EI30" i="1"/>
  <c r="EL29" i="1"/>
  <c r="EP29" i="1"/>
  <c r="DQ24" i="1"/>
  <c r="DW24" i="1"/>
  <c r="DX24" i="1" s="1"/>
  <c r="DY24" i="1"/>
  <c r="DL24" i="1"/>
  <c r="DH24" i="1" s="1"/>
  <c r="DE24" i="1" s="1"/>
  <c r="DD24" i="1" s="1"/>
  <c r="DS24" i="1"/>
  <c r="DU24" i="1"/>
  <c r="DV24" i="1" s="1"/>
  <c r="CH26" i="1"/>
  <c r="CK26" i="1"/>
  <c r="CJ26" i="1"/>
  <c r="CM26" i="1"/>
  <c r="CO26" i="1"/>
  <c r="CU26" i="1" s="1"/>
  <c r="CB28" i="1"/>
  <c r="CE27" i="1"/>
  <c r="CI27" i="1"/>
  <c r="FX266" i="1" l="1"/>
  <c r="GB266" i="1"/>
  <c r="GC266" i="1" s="1"/>
  <c r="GB264" i="1"/>
  <c r="GC264" i="1" s="1"/>
  <c r="FX263" i="1"/>
  <c r="GD263" i="1"/>
  <c r="GE263" i="1" s="1"/>
  <c r="GB262" i="1"/>
  <c r="GC262" i="1" s="1"/>
  <c r="GD262" i="1"/>
  <c r="GE262" i="1" s="1"/>
  <c r="GF262" i="1"/>
  <c r="FZ262" i="1"/>
  <c r="GD264" i="1"/>
  <c r="GE264" i="1" s="1"/>
  <c r="FZ264" i="1"/>
  <c r="GF264" i="1"/>
  <c r="AS110" i="1"/>
  <c r="W68" i="1" s="1"/>
  <c r="BI53" i="1" s="1"/>
  <c r="AS90" i="1"/>
  <c r="AS103" i="1"/>
  <c r="W61" i="1" s="1"/>
  <c r="FZ263" i="1"/>
  <c r="GB263" i="1"/>
  <c r="GC263" i="1" s="1"/>
  <c r="W60" i="1"/>
  <c r="U56" i="1" s="1"/>
  <c r="BC60" i="1"/>
  <c r="AY103" i="1" s="1"/>
  <c r="R64" i="1" s="1"/>
  <c r="BC59" i="1"/>
  <c r="AY102" i="1"/>
  <c r="R63" i="1" s="1"/>
  <c r="AS109" i="1"/>
  <c r="W67" i="1" s="1"/>
  <c r="AS108" i="1"/>
  <c r="W66" i="1" s="1"/>
  <c r="DL263" i="1"/>
  <c r="DH263" i="1" s="1"/>
  <c r="DE263" i="1" s="1"/>
  <c r="DD263" i="1" s="1"/>
  <c r="DS263" i="1"/>
  <c r="DQ263" i="1"/>
  <c r="DU263" i="1"/>
  <c r="DV263" i="1" s="1"/>
  <c r="DW263" i="1"/>
  <c r="DX263" i="1" s="1"/>
  <c r="DY263" i="1"/>
  <c r="FX261" i="1"/>
  <c r="GF261" i="1"/>
  <c r="FZ261" i="1"/>
  <c r="GB261" i="1"/>
  <c r="GC261" i="1" s="1"/>
  <c r="GD261" i="1"/>
  <c r="GE261" i="1" s="1"/>
  <c r="DW145" i="1"/>
  <c r="DX145" i="1" s="1"/>
  <c r="DL145" i="1"/>
  <c r="DH145" i="1" s="1"/>
  <c r="DE145" i="1" s="1"/>
  <c r="DD145" i="1" s="1"/>
  <c r="DQ145" i="1"/>
  <c r="DY145" i="1"/>
  <c r="DS145" i="1"/>
  <c r="DU145" i="1"/>
  <c r="DV145" i="1" s="1"/>
  <c r="DM146" i="1"/>
  <c r="DR146" i="1"/>
  <c r="DT146" i="1"/>
  <c r="DZ146" i="1" s="1"/>
  <c r="DP146" i="1"/>
  <c r="DO146" i="1"/>
  <c r="FX267" i="1"/>
  <c r="GF267" i="1"/>
  <c r="FZ267" i="1"/>
  <c r="GB267" i="1"/>
  <c r="GC267" i="1" s="1"/>
  <c r="GD267" i="1"/>
  <c r="GE267" i="1" s="1"/>
  <c r="FQ147" i="1"/>
  <c r="FU147" i="1"/>
  <c r="FN148" i="1"/>
  <c r="DO267" i="1"/>
  <c r="DM267" i="1"/>
  <c r="DP267" i="1"/>
  <c r="DR267" i="1"/>
  <c r="DT267" i="1"/>
  <c r="DZ267" i="1" s="1"/>
  <c r="DJ147" i="1"/>
  <c r="DN147" i="1"/>
  <c r="DG148" i="1"/>
  <c r="FW146" i="1"/>
  <c r="FT146" i="1"/>
  <c r="FV146" i="1"/>
  <c r="FY146" i="1"/>
  <c r="GA146" i="1"/>
  <c r="GG146" i="1" s="1"/>
  <c r="FS146" i="1" s="1"/>
  <c r="FO146" i="1" s="1"/>
  <c r="FL146" i="1" s="1"/>
  <c r="FK146" i="1" s="1"/>
  <c r="FQ269" i="1"/>
  <c r="FU269" i="1"/>
  <c r="GB145" i="1"/>
  <c r="GC145" i="1" s="1"/>
  <c r="GD145" i="1"/>
  <c r="GE145" i="1" s="1"/>
  <c r="FX145" i="1"/>
  <c r="GF145" i="1"/>
  <c r="FZ145" i="1"/>
  <c r="DJ268" i="1"/>
  <c r="DN268" i="1"/>
  <c r="DW266" i="1"/>
  <c r="DX266" i="1" s="1"/>
  <c r="DL266" i="1"/>
  <c r="DH266" i="1" s="1"/>
  <c r="DE266" i="1" s="1"/>
  <c r="DD266" i="1" s="1"/>
  <c r="DU266" i="1"/>
  <c r="DV266" i="1" s="1"/>
  <c r="DY266" i="1"/>
  <c r="DQ266" i="1"/>
  <c r="DS266" i="1"/>
  <c r="FW268" i="1"/>
  <c r="FT268" i="1"/>
  <c r="FV268" i="1"/>
  <c r="FY268" i="1"/>
  <c r="GA268" i="1"/>
  <c r="GG268" i="1" s="1"/>
  <c r="FS268" i="1" s="1"/>
  <c r="FO268" i="1" s="1"/>
  <c r="FL268" i="1" s="1"/>
  <c r="FK268" i="1" s="1"/>
  <c r="CG268" i="1"/>
  <c r="CC268" i="1" s="1"/>
  <c r="BZ268" i="1" s="1"/>
  <c r="BY268" i="1" s="1"/>
  <c r="CT268" i="1"/>
  <c r="CL268" i="1"/>
  <c r="CR268" i="1"/>
  <c r="CS268" i="1" s="1"/>
  <c r="CP268" i="1"/>
  <c r="CQ268" i="1" s="1"/>
  <c r="CN268" i="1"/>
  <c r="FN270" i="1"/>
  <c r="DG269" i="1"/>
  <c r="CO269" i="1"/>
  <c r="CU269" i="1" s="1"/>
  <c r="CM269" i="1"/>
  <c r="CK269" i="1"/>
  <c r="CH269" i="1"/>
  <c r="CJ269" i="1"/>
  <c r="CI270" i="1"/>
  <c r="CB271" i="1"/>
  <c r="CE270" i="1"/>
  <c r="ER269" i="1"/>
  <c r="EO269" i="1"/>
  <c r="EV269" i="1"/>
  <c r="FB269" i="1" s="1"/>
  <c r="ET269" i="1"/>
  <c r="EQ269" i="1"/>
  <c r="EP270" i="1"/>
  <c r="EI271" i="1"/>
  <c r="EL270" i="1"/>
  <c r="EW268" i="1"/>
  <c r="EX268" i="1" s="1"/>
  <c r="EN268" i="1"/>
  <c r="EJ268" i="1" s="1"/>
  <c r="EG268" i="1" s="1"/>
  <c r="EF268" i="1" s="1"/>
  <c r="EU268" i="1"/>
  <c r="ES268" i="1"/>
  <c r="EY268" i="1"/>
  <c r="EZ268" i="1" s="1"/>
  <c r="FA268" i="1"/>
  <c r="EW148" i="1"/>
  <c r="EX148" i="1" s="1"/>
  <c r="FA148" i="1"/>
  <c r="EN148" i="1"/>
  <c r="EJ148" i="1" s="1"/>
  <c r="EG148" i="1" s="1"/>
  <c r="EF148" i="1" s="1"/>
  <c r="EY148" i="1"/>
  <c r="EZ148" i="1" s="1"/>
  <c r="EU148" i="1"/>
  <c r="ES148" i="1"/>
  <c r="CT149" i="1"/>
  <c r="CL149" i="1"/>
  <c r="CN149" i="1"/>
  <c r="CP149" i="1"/>
  <c r="CQ149" i="1" s="1"/>
  <c r="CG149" i="1"/>
  <c r="CC149" i="1" s="1"/>
  <c r="BZ149" i="1" s="1"/>
  <c r="BY149" i="1" s="1"/>
  <c r="CR149" i="1"/>
  <c r="CS149" i="1" s="1"/>
  <c r="CE151" i="1"/>
  <c r="CB152" i="1"/>
  <c r="CI151" i="1"/>
  <c r="EP150" i="1"/>
  <c r="EI151" i="1"/>
  <c r="EL150" i="1"/>
  <c r="CM150" i="1"/>
  <c r="CK150" i="1"/>
  <c r="CO150" i="1"/>
  <c r="CU150" i="1" s="1"/>
  <c r="CJ150" i="1"/>
  <c r="CH150" i="1"/>
  <c r="EO149" i="1"/>
  <c r="ET149" i="1"/>
  <c r="EQ149" i="1"/>
  <c r="EV149" i="1"/>
  <c r="FB149" i="1" s="1"/>
  <c r="ER149" i="1"/>
  <c r="BP38" i="20"/>
  <c r="AT37" i="20"/>
  <c r="BO38" i="20"/>
  <c r="AS37" i="20"/>
  <c r="AT71" i="20"/>
  <c r="BP72" i="20"/>
  <c r="AR72" i="20"/>
  <c r="BN73" i="20"/>
  <c r="AT54" i="20"/>
  <c r="BP55" i="20"/>
  <c r="AS54" i="20"/>
  <c r="BO55" i="20"/>
  <c r="AR37" i="20"/>
  <c r="BN38" i="20"/>
  <c r="BO72" i="20"/>
  <c r="AS71" i="20"/>
  <c r="AR55" i="20"/>
  <c r="BN56" i="20"/>
  <c r="H43" i="18"/>
  <c r="AH60" i="18"/>
  <c r="CO27" i="1"/>
  <c r="CU27" i="1" s="1"/>
  <c r="CJ27" i="1"/>
  <c r="CM27" i="1"/>
  <c r="CK27" i="1"/>
  <c r="CH27" i="1"/>
  <c r="DG28" i="1"/>
  <c r="DJ27" i="1"/>
  <c r="DN27" i="1"/>
  <c r="GD25" i="1"/>
  <c r="GE25" i="1" s="1"/>
  <c r="GB25" i="1"/>
  <c r="GC25" i="1" s="1"/>
  <c r="FX25" i="1"/>
  <c r="GF25" i="1"/>
  <c r="FZ25" i="1"/>
  <c r="FV26" i="1"/>
  <c r="GA26" i="1"/>
  <c r="GG26" i="1" s="1"/>
  <c r="FS26" i="1" s="1"/>
  <c r="FO26" i="1" s="1"/>
  <c r="FL26" i="1" s="1"/>
  <c r="FK26" i="1" s="1"/>
  <c r="FY26" i="1"/>
  <c r="FW26" i="1"/>
  <c r="FT26" i="1"/>
  <c r="EI31" i="1"/>
  <c r="EL30" i="1"/>
  <c r="EP30" i="1"/>
  <c r="DQ25" i="1"/>
  <c r="DS25" i="1"/>
  <c r="DW25" i="1"/>
  <c r="DX25" i="1" s="1"/>
  <c r="DY25" i="1"/>
  <c r="DL25" i="1"/>
  <c r="DH25" i="1" s="1"/>
  <c r="DE25" i="1" s="1"/>
  <c r="DD25" i="1" s="1"/>
  <c r="DU25" i="1"/>
  <c r="DV25" i="1" s="1"/>
  <c r="FN28" i="1"/>
  <c r="FQ27" i="1"/>
  <c r="FU27" i="1"/>
  <c r="ET29" i="1"/>
  <c r="EV29" i="1"/>
  <c r="FB29" i="1" s="1"/>
  <c r="ER29" i="1"/>
  <c r="EQ29" i="1"/>
  <c r="EO29" i="1"/>
  <c r="CP26" i="1"/>
  <c r="CQ26" i="1" s="1"/>
  <c r="CR26" i="1"/>
  <c r="CS26" i="1" s="1"/>
  <c r="CG26" i="1"/>
  <c r="CC26" i="1" s="1"/>
  <c r="BZ26" i="1" s="1"/>
  <c r="BY26" i="1" s="1"/>
  <c r="CT26" i="1"/>
  <c r="CL26" i="1"/>
  <c r="CN26" i="1"/>
  <c r="EW28" i="1"/>
  <c r="EX28" i="1" s="1"/>
  <c r="ES28" i="1"/>
  <c r="EY28" i="1"/>
  <c r="EZ28" i="1" s="1"/>
  <c r="FA28" i="1"/>
  <c r="EU28" i="1"/>
  <c r="EN28" i="1"/>
  <c r="EJ28" i="1" s="1"/>
  <c r="EG28" i="1" s="1"/>
  <c r="EF28" i="1" s="1"/>
  <c r="DM26" i="1"/>
  <c r="DT26" i="1"/>
  <c r="DZ26" i="1" s="1"/>
  <c r="DO26" i="1"/>
  <c r="DR26" i="1"/>
  <c r="DP26" i="1"/>
  <c r="CB29" i="1"/>
  <c r="CE28" i="1"/>
  <c r="CI28" i="1"/>
  <c r="AS104" i="1" l="1"/>
  <c r="W62" i="1" s="1"/>
  <c r="DL146" i="1"/>
  <c r="DH146" i="1" s="1"/>
  <c r="DE146" i="1" s="1"/>
  <c r="DD146" i="1" s="1"/>
  <c r="DW146" i="1"/>
  <c r="DX146" i="1" s="1"/>
  <c r="DU146" i="1"/>
  <c r="DV146" i="1" s="1"/>
  <c r="DQ146" i="1"/>
  <c r="DS146" i="1"/>
  <c r="DY146" i="1"/>
  <c r="DW267" i="1"/>
  <c r="DX267" i="1" s="1"/>
  <c r="DL267" i="1"/>
  <c r="DH267" i="1" s="1"/>
  <c r="DE267" i="1" s="1"/>
  <c r="DD267" i="1" s="1"/>
  <c r="DU267" i="1"/>
  <c r="DV267" i="1" s="1"/>
  <c r="DY267" i="1"/>
  <c r="DQ267" i="1"/>
  <c r="DS267" i="1"/>
  <c r="DG149" i="1"/>
  <c r="DN148" i="1"/>
  <c r="DJ148" i="1"/>
  <c r="FQ148" i="1"/>
  <c r="FU148" i="1"/>
  <c r="FN149" i="1"/>
  <c r="DJ269" i="1"/>
  <c r="DN269" i="1"/>
  <c r="FY269" i="1"/>
  <c r="FW269" i="1"/>
  <c r="FT269" i="1"/>
  <c r="FV269" i="1"/>
  <c r="GA269" i="1"/>
  <c r="GG269" i="1" s="1"/>
  <c r="FS269" i="1" s="1"/>
  <c r="FO269" i="1" s="1"/>
  <c r="FL269" i="1" s="1"/>
  <c r="FK269" i="1" s="1"/>
  <c r="DR147" i="1"/>
  <c r="DT147" i="1"/>
  <c r="DZ147" i="1" s="1"/>
  <c r="DM147" i="1"/>
  <c r="DO147" i="1"/>
  <c r="DP147" i="1"/>
  <c r="GA147" i="1"/>
  <c r="GG147" i="1" s="1"/>
  <c r="FS147" i="1" s="1"/>
  <c r="FO147" i="1" s="1"/>
  <c r="FL147" i="1" s="1"/>
  <c r="FK147" i="1" s="1"/>
  <c r="FY147" i="1"/>
  <c r="FW147" i="1"/>
  <c r="FV147" i="1"/>
  <c r="FT147" i="1"/>
  <c r="FX146" i="1"/>
  <c r="GB146" i="1"/>
  <c r="GC146" i="1" s="1"/>
  <c r="GD146" i="1"/>
  <c r="GE146" i="1" s="1"/>
  <c r="GF146" i="1"/>
  <c r="FZ146" i="1"/>
  <c r="FQ270" i="1"/>
  <c r="FU270" i="1"/>
  <c r="FZ268" i="1"/>
  <c r="GB268" i="1"/>
  <c r="GC268" i="1" s="1"/>
  <c r="GF268" i="1"/>
  <c r="FX268" i="1"/>
  <c r="GD268" i="1"/>
  <c r="GE268" i="1" s="1"/>
  <c r="DM268" i="1"/>
  <c r="DO268" i="1"/>
  <c r="DP268" i="1"/>
  <c r="DR268" i="1"/>
  <c r="DT268" i="1"/>
  <c r="DZ268" i="1" s="1"/>
  <c r="CO270" i="1"/>
  <c r="CU270" i="1" s="1"/>
  <c r="CM270" i="1"/>
  <c r="CK270" i="1"/>
  <c r="CJ270" i="1"/>
  <c r="CH270" i="1"/>
  <c r="EL271" i="1"/>
  <c r="EI272" i="1"/>
  <c r="EP271" i="1"/>
  <c r="ER270" i="1"/>
  <c r="EO270" i="1"/>
  <c r="EV270" i="1"/>
  <c r="FB270" i="1" s="1"/>
  <c r="ET270" i="1"/>
  <c r="EQ270" i="1"/>
  <c r="CE271" i="1"/>
  <c r="CI271" i="1"/>
  <c r="CB272" i="1"/>
  <c r="FN271" i="1"/>
  <c r="CG269" i="1"/>
  <c r="CC269" i="1" s="1"/>
  <c r="BZ269" i="1" s="1"/>
  <c r="BY269" i="1" s="1"/>
  <c r="CT269" i="1"/>
  <c r="CL269" i="1"/>
  <c r="CR269" i="1"/>
  <c r="CS269" i="1" s="1"/>
  <c r="CP269" i="1"/>
  <c r="CQ269" i="1" s="1"/>
  <c r="CN269" i="1"/>
  <c r="EW269" i="1"/>
  <c r="EX269" i="1" s="1"/>
  <c r="EN269" i="1"/>
  <c r="EJ269" i="1" s="1"/>
  <c r="EG269" i="1" s="1"/>
  <c r="EF269" i="1" s="1"/>
  <c r="FA269" i="1"/>
  <c r="EY269" i="1"/>
  <c r="EZ269" i="1" s="1"/>
  <c r="EU269" i="1"/>
  <c r="ES269" i="1"/>
  <c r="DG270" i="1"/>
  <c r="CT150" i="1"/>
  <c r="CL150" i="1"/>
  <c r="CN150" i="1"/>
  <c r="CG150" i="1"/>
  <c r="CC150" i="1" s="1"/>
  <c r="BZ150" i="1" s="1"/>
  <c r="BY150" i="1" s="1"/>
  <c r="CR150" i="1"/>
  <c r="CS150" i="1" s="1"/>
  <c r="CP150" i="1"/>
  <c r="CQ150" i="1" s="1"/>
  <c r="EW149" i="1"/>
  <c r="EX149" i="1" s="1"/>
  <c r="FA149" i="1"/>
  <c r="EN149" i="1"/>
  <c r="EJ149" i="1" s="1"/>
  <c r="EG149" i="1" s="1"/>
  <c r="EF149" i="1" s="1"/>
  <c r="EY149" i="1"/>
  <c r="EZ149" i="1" s="1"/>
  <c r="EU149" i="1"/>
  <c r="ES149" i="1"/>
  <c r="EL151" i="1"/>
  <c r="EP151" i="1"/>
  <c r="EI152" i="1"/>
  <c r="CM151" i="1"/>
  <c r="CJ151" i="1"/>
  <c r="CK151" i="1"/>
  <c r="CH151" i="1"/>
  <c r="CO151" i="1"/>
  <c r="CU151" i="1" s="1"/>
  <c r="EO150" i="1"/>
  <c r="ET150" i="1"/>
  <c r="EV150" i="1"/>
  <c r="FB150" i="1" s="1"/>
  <c r="ER150" i="1"/>
  <c r="EQ150" i="1"/>
  <c r="CI152" i="1"/>
  <c r="CE152" i="1"/>
  <c r="CB153" i="1"/>
  <c r="BN74" i="20"/>
  <c r="AR73" i="20"/>
  <c r="AR38" i="20"/>
  <c r="BN39" i="20"/>
  <c r="BP73" i="20"/>
  <c r="AT72" i="20"/>
  <c r="BO56" i="20"/>
  <c r="AS55" i="20"/>
  <c r="AS72" i="20"/>
  <c r="BO73" i="20"/>
  <c r="AS38" i="20"/>
  <c r="BO39" i="20"/>
  <c r="BN57" i="20"/>
  <c r="AR56" i="20"/>
  <c r="BP56" i="20"/>
  <c r="AT55" i="20"/>
  <c r="AT38" i="20"/>
  <c r="BP39" i="20"/>
  <c r="DY26" i="1"/>
  <c r="DL26" i="1"/>
  <c r="DH26" i="1" s="1"/>
  <c r="DE26" i="1" s="1"/>
  <c r="DD26" i="1" s="1"/>
  <c r="DW26" i="1"/>
  <c r="DX26" i="1" s="1"/>
  <c r="DU26" i="1"/>
  <c r="DV26" i="1" s="1"/>
  <c r="DQ26" i="1"/>
  <c r="DS26" i="1"/>
  <c r="DJ28" i="1"/>
  <c r="DG29" i="1"/>
  <c r="DN28" i="1"/>
  <c r="CB30" i="1"/>
  <c r="CE29" i="1"/>
  <c r="CI29" i="1"/>
  <c r="EL31" i="1"/>
  <c r="EI32" i="1"/>
  <c r="EP31" i="1"/>
  <c r="GF26" i="1"/>
  <c r="GB26" i="1"/>
  <c r="GC26" i="1" s="1"/>
  <c r="GD26" i="1"/>
  <c r="GE26" i="1" s="1"/>
  <c r="FZ26" i="1"/>
  <c r="FX26" i="1"/>
  <c r="CH28" i="1"/>
  <c r="CJ28" i="1"/>
  <c r="CO28" i="1"/>
  <c r="CU28" i="1" s="1"/>
  <c r="CK28" i="1"/>
  <c r="CM28" i="1"/>
  <c r="FA29" i="1"/>
  <c r="EN29" i="1"/>
  <c r="EJ29" i="1" s="1"/>
  <c r="EG29" i="1" s="1"/>
  <c r="EF29" i="1" s="1"/>
  <c r="EW29" i="1"/>
  <c r="EX29" i="1" s="1"/>
  <c r="EY29" i="1"/>
  <c r="EZ29" i="1" s="1"/>
  <c r="EU29" i="1"/>
  <c r="ES29" i="1"/>
  <c r="FN29" i="1"/>
  <c r="FQ28" i="1"/>
  <c r="FU28" i="1"/>
  <c r="CT27" i="1"/>
  <c r="CL27" i="1"/>
  <c r="CG27" i="1"/>
  <c r="CC27" i="1" s="1"/>
  <c r="BZ27" i="1" s="1"/>
  <c r="BY27" i="1" s="1"/>
  <c r="CN27" i="1"/>
  <c r="CR27" i="1"/>
  <c r="CS27" i="1" s="1"/>
  <c r="CP27" i="1"/>
  <c r="CQ27" i="1" s="1"/>
  <c r="GA27" i="1"/>
  <c r="GG27" i="1" s="1"/>
  <c r="FS27" i="1" s="1"/>
  <c r="FO27" i="1" s="1"/>
  <c r="FL27" i="1" s="1"/>
  <c r="FK27" i="1" s="1"/>
  <c r="FV27" i="1"/>
  <c r="FW27" i="1"/>
  <c r="FT27" i="1"/>
  <c r="FY27" i="1"/>
  <c r="DO27" i="1"/>
  <c r="DP27" i="1"/>
  <c r="DR27" i="1"/>
  <c r="DT27" i="1"/>
  <c r="DZ27" i="1" s="1"/>
  <c r="DM27" i="1"/>
  <c r="EO30" i="1"/>
  <c r="EV30" i="1"/>
  <c r="FB30" i="1" s="1"/>
  <c r="ET30" i="1"/>
  <c r="ER30" i="1"/>
  <c r="EQ30" i="1"/>
  <c r="DL268" i="1" l="1"/>
  <c r="DH268" i="1" s="1"/>
  <c r="DE268" i="1" s="1"/>
  <c r="DD268" i="1" s="1"/>
  <c r="DU268" i="1"/>
  <c r="DV268" i="1" s="1"/>
  <c r="DW268" i="1"/>
  <c r="DX268" i="1" s="1"/>
  <c r="DY268" i="1"/>
  <c r="DQ268" i="1"/>
  <c r="DS268" i="1"/>
  <c r="FQ271" i="1"/>
  <c r="FU271" i="1"/>
  <c r="DG150" i="1"/>
  <c r="DJ149" i="1"/>
  <c r="DN149" i="1"/>
  <c r="FZ269" i="1"/>
  <c r="GB269" i="1"/>
  <c r="GC269" i="1" s="1"/>
  <c r="GD269" i="1"/>
  <c r="GE269" i="1" s="1"/>
  <c r="GF269" i="1"/>
  <c r="FX269" i="1"/>
  <c r="DL147" i="1"/>
  <c r="DH147" i="1" s="1"/>
  <c r="DE147" i="1" s="1"/>
  <c r="DD147" i="1" s="1"/>
  <c r="DU147" i="1"/>
  <c r="DV147" i="1" s="1"/>
  <c r="DY147" i="1"/>
  <c r="DW147" i="1"/>
  <c r="DX147" i="1" s="1"/>
  <c r="DQ147" i="1"/>
  <c r="DS147" i="1"/>
  <c r="DT269" i="1"/>
  <c r="DZ269" i="1" s="1"/>
  <c r="DO269" i="1"/>
  <c r="DR269" i="1"/>
  <c r="DP269" i="1"/>
  <c r="DM269" i="1"/>
  <c r="GB147" i="1"/>
  <c r="GC147" i="1" s="1"/>
  <c r="GF147" i="1"/>
  <c r="GD147" i="1"/>
  <c r="GE147" i="1" s="1"/>
  <c r="FX147" i="1"/>
  <c r="FZ147" i="1"/>
  <c r="DM148" i="1"/>
  <c r="DO148" i="1"/>
  <c r="DP148" i="1"/>
  <c r="DR148" i="1"/>
  <c r="DT148" i="1"/>
  <c r="DZ148" i="1" s="1"/>
  <c r="DJ270" i="1"/>
  <c r="DN270" i="1"/>
  <c r="FV270" i="1"/>
  <c r="FW270" i="1"/>
  <c r="FY270" i="1"/>
  <c r="FT270" i="1"/>
  <c r="GA270" i="1"/>
  <c r="GG270" i="1" s="1"/>
  <c r="FS270" i="1" s="1"/>
  <c r="FO270" i="1" s="1"/>
  <c r="FL270" i="1" s="1"/>
  <c r="FK270" i="1" s="1"/>
  <c r="FQ149" i="1"/>
  <c r="FU149" i="1"/>
  <c r="FN150" i="1"/>
  <c r="FY148" i="1"/>
  <c r="FT148" i="1"/>
  <c r="FV148" i="1"/>
  <c r="FW148" i="1"/>
  <c r="GA148" i="1"/>
  <c r="GG148" i="1" s="1"/>
  <c r="FS148" i="1" s="1"/>
  <c r="FO148" i="1" s="1"/>
  <c r="FL148" i="1" s="1"/>
  <c r="FK148" i="1" s="1"/>
  <c r="FN272" i="1"/>
  <c r="CG270" i="1"/>
  <c r="CC270" i="1" s="1"/>
  <c r="BZ270" i="1" s="1"/>
  <c r="BY270" i="1" s="1"/>
  <c r="CT270" i="1"/>
  <c r="CL270" i="1"/>
  <c r="CP270" i="1"/>
  <c r="CQ270" i="1" s="1"/>
  <c r="CN270" i="1"/>
  <c r="CR270" i="1"/>
  <c r="CS270" i="1" s="1"/>
  <c r="DG271" i="1"/>
  <c r="EW270" i="1"/>
  <c r="EX270" i="1" s="1"/>
  <c r="EN270" i="1"/>
  <c r="EJ270" i="1" s="1"/>
  <c r="EG270" i="1" s="1"/>
  <c r="EF270" i="1" s="1"/>
  <c r="EU270" i="1"/>
  <c r="FA270" i="1"/>
  <c r="EY270" i="1"/>
  <c r="EZ270" i="1" s="1"/>
  <c r="ES270" i="1"/>
  <c r="CH271" i="1"/>
  <c r="CM271" i="1"/>
  <c r="CJ271" i="1"/>
  <c r="CO271" i="1"/>
  <c r="CU271" i="1" s="1"/>
  <c r="CK271" i="1"/>
  <c r="EI273" i="1"/>
  <c r="EL272" i="1"/>
  <c r="EP272" i="1"/>
  <c r="CI272" i="1"/>
  <c r="CB273" i="1"/>
  <c r="CE272" i="1"/>
  <c r="ER271" i="1"/>
  <c r="EQ271" i="1"/>
  <c r="EO271" i="1"/>
  <c r="EV271" i="1"/>
  <c r="FB271" i="1" s="1"/>
  <c r="ET271" i="1"/>
  <c r="ER151" i="1"/>
  <c r="EO151" i="1"/>
  <c r="EV151" i="1"/>
  <c r="FB151" i="1" s="1"/>
  <c r="ET151" i="1"/>
  <c r="EQ151" i="1"/>
  <c r="EP152" i="1"/>
  <c r="EL152" i="1"/>
  <c r="EI153" i="1"/>
  <c r="EW150" i="1"/>
  <c r="EX150" i="1" s="1"/>
  <c r="EY150" i="1"/>
  <c r="EZ150" i="1" s="1"/>
  <c r="EU150" i="1"/>
  <c r="ES150" i="1"/>
  <c r="FA150" i="1"/>
  <c r="EN150" i="1"/>
  <c r="EJ150" i="1" s="1"/>
  <c r="EG150" i="1" s="1"/>
  <c r="EF150" i="1" s="1"/>
  <c r="CI153" i="1"/>
  <c r="CE153" i="1"/>
  <c r="CB154" i="1"/>
  <c r="CN151" i="1"/>
  <c r="CR151" i="1"/>
  <c r="CS151" i="1" s="1"/>
  <c r="CL151" i="1"/>
  <c r="CT151" i="1"/>
  <c r="CG151" i="1"/>
  <c r="CC151" i="1" s="1"/>
  <c r="BZ151" i="1" s="1"/>
  <c r="BY151" i="1" s="1"/>
  <c r="CP151" i="1"/>
  <c r="CQ151" i="1" s="1"/>
  <c r="CJ152" i="1"/>
  <c r="CO152" i="1"/>
  <c r="CU152" i="1" s="1"/>
  <c r="CM152" i="1"/>
  <c r="CK152" i="1"/>
  <c r="CH152" i="1"/>
  <c r="AT56" i="20"/>
  <c r="BP57" i="20"/>
  <c r="AS56" i="20"/>
  <c r="BO57" i="20"/>
  <c r="BN58" i="20"/>
  <c r="AR57" i="20"/>
  <c r="AT73" i="20"/>
  <c r="BP74" i="20"/>
  <c r="AS39" i="20"/>
  <c r="BO40" i="20"/>
  <c r="AR39" i="20"/>
  <c r="BN40" i="20"/>
  <c r="BP40" i="20"/>
  <c r="AT39" i="20"/>
  <c r="AS73" i="20"/>
  <c r="BO74" i="20"/>
  <c r="BN75" i="20"/>
  <c r="AR74" i="20"/>
  <c r="EI33" i="1"/>
  <c r="EL32" i="1"/>
  <c r="EP32" i="1"/>
  <c r="FN30" i="1"/>
  <c r="FQ29" i="1"/>
  <c r="FU29" i="1"/>
  <c r="FA30" i="1"/>
  <c r="EW30" i="1"/>
  <c r="EX30" i="1" s="1"/>
  <c r="EY30" i="1"/>
  <c r="EZ30" i="1" s="1"/>
  <c r="EU30" i="1"/>
  <c r="ES30" i="1"/>
  <c r="EN30" i="1"/>
  <c r="EJ30" i="1" s="1"/>
  <c r="EG30" i="1" s="1"/>
  <c r="EF30" i="1" s="1"/>
  <c r="DW27" i="1"/>
  <c r="DX27" i="1" s="1"/>
  <c r="DS27" i="1"/>
  <c r="DQ27" i="1"/>
  <c r="DY27" i="1"/>
  <c r="DU27" i="1"/>
  <c r="DV27" i="1" s="1"/>
  <c r="DL27" i="1"/>
  <c r="DH27" i="1" s="1"/>
  <c r="DE27" i="1" s="1"/>
  <c r="DD27" i="1" s="1"/>
  <c r="DP28" i="1"/>
  <c r="DT28" i="1"/>
  <c r="DZ28" i="1" s="1"/>
  <c r="DO28" i="1"/>
  <c r="DM28" i="1"/>
  <c r="DR28" i="1"/>
  <c r="CJ29" i="1"/>
  <c r="CK29" i="1"/>
  <c r="CM29" i="1"/>
  <c r="CO29" i="1"/>
  <c r="CU29" i="1" s="1"/>
  <c r="CH29" i="1"/>
  <c r="DJ29" i="1"/>
  <c r="DG30" i="1"/>
  <c r="DN29" i="1"/>
  <c r="GF27" i="1"/>
  <c r="GD27" i="1"/>
  <c r="GE27" i="1" s="1"/>
  <c r="GB27" i="1"/>
  <c r="GC27" i="1" s="1"/>
  <c r="FX27" i="1"/>
  <c r="FZ27" i="1"/>
  <c r="CP28" i="1"/>
  <c r="CQ28" i="1" s="1"/>
  <c r="CL28" i="1"/>
  <c r="CT28" i="1"/>
  <c r="CR28" i="1"/>
  <c r="CS28" i="1" s="1"/>
  <c r="CN28" i="1"/>
  <c r="CG28" i="1"/>
  <c r="CC28" i="1" s="1"/>
  <c r="BZ28" i="1" s="1"/>
  <c r="BY28" i="1" s="1"/>
  <c r="CB31" i="1"/>
  <c r="CE30" i="1"/>
  <c r="CI30" i="1"/>
  <c r="GA28" i="1"/>
  <c r="GG28" i="1" s="1"/>
  <c r="FS28" i="1" s="1"/>
  <c r="FO28" i="1" s="1"/>
  <c r="FL28" i="1" s="1"/>
  <c r="FK28" i="1" s="1"/>
  <c r="FV28" i="1"/>
  <c r="FT28" i="1"/>
  <c r="FW28" i="1"/>
  <c r="FY28" i="1"/>
  <c r="EV31" i="1"/>
  <c r="FB31" i="1" s="1"/>
  <c r="ER31" i="1"/>
  <c r="EQ31" i="1"/>
  <c r="ET31" i="1"/>
  <c r="EO31" i="1"/>
  <c r="FW271" i="1" l="1"/>
  <c r="FV271" i="1"/>
  <c r="FY271" i="1"/>
  <c r="FT271" i="1"/>
  <c r="GA271" i="1"/>
  <c r="GG271" i="1" s="1"/>
  <c r="FS271" i="1" s="1"/>
  <c r="FO271" i="1" s="1"/>
  <c r="FL271" i="1" s="1"/>
  <c r="FK271" i="1" s="1"/>
  <c r="FQ150" i="1"/>
  <c r="FU150" i="1"/>
  <c r="FN151" i="1"/>
  <c r="FT149" i="1"/>
  <c r="FV149" i="1"/>
  <c r="FW149" i="1"/>
  <c r="FY149" i="1"/>
  <c r="GA149" i="1"/>
  <c r="GG149" i="1" s="1"/>
  <c r="FS149" i="1" s="1"/>
  <c r="FO149" i="1" s="1"/>
  <c r="FL149" i="1" s="1"/>
  <c r="FK149" i="1" s="1"/>
  <c r="DP270" i="1"/>
  <c r="DM270" i="1"/>
  <c r="DO270" i="1"/>
  <c r="DR270" i="1"/>
  <c r="DT270" i="1"/>
  <c r="DZ270" i="1" s="1"/>
  <c r="DJ271" i="1"/>
  <c r="DN271" i="1"/>
  <c r="FQ272" i="1"/>
  <c r="FU272" i="1"/>
  <c r="FX270" i="1"/>
  <c r="GB270" i="1"/>
  <c r="GC270" i="1" s="1"/>
  <c r="GF270" i="1"/>
  <c r="GD270" i="1"/>
  <c r="GE270" i="1" s="1"/>
  <c r="FZ270" i="1"/>
  <c r="DS269" i="1"/>
  <c r="DL269" i="1"/>
  <c r="DH269" i="1" s="1"/>
  <c r="DE269" i="1" s="1"/>
  <c r="DD269" i="1" s="1"/>
  <c r="DU269" i="1"/>
  <c r="DV269" i="1" s="1"/>
  <c r="DQ269" i="1"/>
  <c r="DW269" i="1"/>
  <c r="DX269" i="1" s="1"/>
  <c r="DY269" i="1"/>
  <c r="DM149" i="1"/>
  <c r="DP149" i="1"/>
  <c r="DR149" i="1"/>
  <c r="DO149" i="1"/>
  <c r="DT149" i="1"/>
  <c r="DZ149" i="1" s="1"/>
  <c r="FZ148" i="1"/>
  <c r="FX148" i="1"/>
  <c r="GB148" i="1"/>
  <c r="GC148" i="1" s="1"/>
  <c r="GF148" i="1"/>
  <c r="GD148" i="1"/>
  <c r="GE148" i="1" s="1"/>
  <c r="DS148" i="1"/>
  <c r="DL148" i="1"/>
  <c r="DH148" i="1" s="1"/>
  <c r="DE148" i="1" s="1"/>
  <c r="DD148" i="1" s="1"/>
  <c r="DU148" i="1"/>
  <c r="DV148" i="1" s="1"/>
  <c r="DW148" i="1"/>
  <c r="DX148" i="1" s="1"/>
  <c r="DQ148" i="1"/>
  <c r="DY148" i="1"/>
  <c r="DG151" i="1"/>
  <c r="DJ150" i="1"/>
  <c r="DN150" i="1"/>
  <c r="EU271" i="1"/>
  <c r="FA271" i="1"/>
  <c r="ES271" i="1"/>
  <c r="EY271" i="1"/>
  <c r="EZ271" i="1" s="1"/>
  <c r="EW271" i="1"/>
  <c r="EX271" i="1" s="1"/>
  <c r="EN271" i="1"/>
  <c r="EJ271" i="1" s="1"/>
  <c r="EG271" i="1" s="1"/>
  <c r="EF271" i="1" s="1"/>
  <c r="FN273" i="1"/>
  <c r="EQ272" i="1"/>
  <c r="EO272" i="1"/>
  <c r="EV272" i="1"/>
  <c r="FB272" i="1" s="1"/>
  <c r="ET272" i="1"/>
  <c r="ER272" i="1"/>
  <c r="CP271" i="1"/>
  <c r="CQ271" i="1" s="1"/>
  <c r="CN271" i="1"/>
  <c r="CT271" i="1"/>
  <c r="CL271" i="1"/>
  <c r="CR271" i="1"/>
  <c r="CS271" i="1" s="1"/>
  <c r="CG271" i="1"/>
  <c r="CC271" i="1" s="1"/>
  <c r="BZ271" i="1" s="1"/>
  <c r="BY271" i="1" s="1"/>
  <c r="CJ272" i="1"/>
  <c r="CH272" i="1"/>
  <c r="CO272" i="1"/>
  <c r="CU272" i="1" s="1"/>
  <c r="CM272" i="1"/>
  <c r="CK272" i="1"/>
  <c r="DG272" i="1"/>
  <c r="CB274" i="1"/>
  <c r="CI273" i="1"/>
  <c r="CE273" i="1"/>
  <c r="EI274" i="1"/>
  <c r="EP273" i="1"/>
  <c r="EL273" i="1"/>
  <c r="EP153" i="1"/>
  <c r="EL153" i="1"/>
  <c r="EI154" i="1"/>
  <c r="EO152" i="1"/>
  <c r="EV152" i="1"/>
  <c r="FB152" i="1" s="1"/>
  <c r="ER152" i="1"/>
  <c r="EQ152" i="1"/>
  <c r="ET152" i="1"/>
  <c r="CR152" i="1"/>
  <c r="CS152" i="1" s="1"/>
  <c r="CN152" i="1"/>
  <c r="CP152" i="1"/>
  <c r="CQ152" i="1" s="1"/>
  <c r="CL152" i="1"/>
  <c r="CT152" i="1"/>
  <c r="CG152" i="1"/>
  <c r="CC152" i="1" s="1"/>
  <c r="BZ152" i="1" s="1"/>
  <c r="BY152" i="1" s="1"/>
  <c r="CI154" i="1"/>
  <c r="CB155" i="1"/>
  <c r="CE154" i="1"/>
  <c r="CM153" i="1"/>
  <c r="CO153" i="1"/>
  <c r="CU153" i="1" s="1"/>
  <c r="CK153" i="1"/>
  <c r="CJ153" i="1"/>
  <c r="CH153" i="1"/>
  <c r="FA151" i="1"/>
  <c r="ES151" i="1"/>
  <c r="EW151" i="1"/>
  <c r="EX151" i="1" s="1"/>
  <c r="EN151" i="1"/>
  <c r="EJ151" i="1" s="1"/>
  <c r="EG151" i="1" s="1"/>
  <c r="EF151" i="1" s="1"/>
  <c r="EY151" i="1"/>
  <c r="EZ151" i="1" s="1"/>
  <c r="EU151" i="1"/>
  <c r="AT40" i="20"/>
  <c r="BP41" i="20"/>
  <c r="BN59" i="20"/>
  <c r="AR58" i="20"/>
  <c r="AS74" i="20"/>
  <c r="BO75" i="20"/>
  <c r="BN41" i="20"/>
  <c r="AR40" i="20"/>
  <c r="BO58" i="20"/>
  <c r="AS57" i="20"/>
  <c r="BP75" i="20"/>
  <c r="AT74" i="20"/>
  <c r="BO41" i="20"/>
  <c r="AS40" i="20"/>
  <c r="AT57" i="20"/>
  <c r="BP58" i="20"/>
  <c r="BN76" i="20"/>
  <c r="AR75" i="20"/>
  <c r="CK30" i="1"/>
  <c r="CO30" i="1"/>
  <c r="CU30" i="1" s="1"/>
  <c r="CJ30" i="1"/>
  <c r="CM30" i="1"/>
  <c r="CH30" i="1"/>
  <c r="DM29" i="1"/>
  <c r="DO29" i="1"/>
  <c r="DP29" i="1"/>
  <c r="DR29" i="1"/>
  <c r="DT29" i="1"/>
  <c r="DZ29" i="1" s="1"/>
  <c r="CE31" i="1"/>
  <c r="CB32" i="1"/>
  <c r="CI31" i="1"/>
  <c r="FV29" i="1"/>
  <c r="FY29" i="1"/>
  <c r="GA29" i="1"/>
  <c r="GG29" i="1" s="1"/>
  <c r="FS29" i="1" s="1"/>
  <c r="FO29" i="1" s="1"/>
  <c r="FL29" i="1" s="1"/>
  <c r="FK29" i="1" s="1"/>
  <c r="FW29" i="1"/>
  <c r="FT29" i="1"/>
  <c r="ER32" i="1"/>
  <c r="ET32" i="1"/>
  <c r="EO32" i="1"/>
  <c r="EV32" i="1"/>
  <c r="FB32" i="1" s="1"/>
  <c r="EQ32" i="1"/>
  <c r="DJ30" i="1"/>
  <c r="DG31" i="1"/>
  <c r="DN30" i="1"/>
  <c r="EW31" i="1"/>
  <c r="EX31" i="1" s="1"/>
  <c r="EU31" i="1"/>
  <c r="FA31" i="1"/>
  <c r="EY31" i="1"/>
  <c r="EZ31" i="1" s="1"/>
  <c r="ES31" i="1"/>
  <c r="EN31" i="1"/>
  <c r="EJ31" i="1" s="1"/>
  <c r="EG31" i="1" s="1"/>
  <c r="EF31" i="1" s="1"/>
  <c r="DW28" i="1"/>
  <c r="DX28" i="1" s="1"/>
  <c r="DL28" i="1"/>
  <c r="DH28" i="1" s="1"/>
  <c r="DE28" i="1" s="1"/>
  <c r="DD28" i="1" s="1"/>
  <c r="DQ28" i="1"/>
  <c r="DY28" i="1"/>
  <c r="DU28" i="1"/>
  <c r="DV28" i="1" s="1"/>
  <c r="DS28" i="1"/>
  <c r="FX28" i="1"/>
  <c r="GF28" i="1"/>
  <c r="FZ28" i="1"/>
  <c r="GB28" i="1"/>
  <c r="GC28" i="1" s="1"/>
  <c r="GD28" i="1"/>
  <c r="GE28" i="1" s="1"/>
  <c r="CT29" i="1"/>
  <c r="CG29" i="1"/>
  <c r="CC29" i="1" s="1"/>
  <c r="BZ29" i="1" s="1"/>
  <c r="BY29" i="1" s="1"/>
  <c r="CP29" i="1"/>
  <c r="CQ29" i="1" s="1"/>
  <c r="CL29" i="1"/>
  <c r="CN29" i="1"/>
  <c r="CR29" i="1"/>
  <c r="CS29" i="1" s="1"/>
  <c r="FQ30" i="1"/>
  <c r="FN31" i="1"/>
  <c r="FU30" i="1"/>
  <c r="EI34" i="1"/>
  <c r="EL33" i="1"/>
  <c r="EP33" i="1"/>
  <c r="FQ151" i="1" l="1"/>
  <c r="FU151" i="1"/>
  <c r="FN152" i="1"/>
  <c r="FY150" i="1"/>
  <c r="FV150" i="1"/>
  <c r="FW150" i="1"/>
  <c r="FT150" i="1"/>
  <c r="GA150" i="1"/>
  <c r="GG150" i="1" s="1"/>
  <c r="FS150" i="1" s="1"/>
  <c r="FO150" i="1" s="1"/>
  <c r="FL150" i="1" s="1"/>
  <c r="FK150" i="1" s="1"/>
  <c r="FV272" i="1"/>
  <c r="FW272" i="1"/>
  <c r="FY272" i="1"/>
  <c r="FT272" i="1"/>
  <c r="GA272" i="1"/>
  <c r="GG272" i="1" s="1"/>
  <c r="FS272" i="1" s="1"/>
  <c r="FO272" i="1" s="1"/>
  <c r="FL272" i="1" s="1"/>
  <c r="FK272" i="1" s="1"/>
  <c r="DM150" i="1"/>
  <c r="DO150" i="1"/>
  <c r="DP150" i="1"/>
  <c r="DR150" i="1"/>
  <c r="DT150" i="1"/>
  <c r="DZ150" i="1" s="1"/>
  <c r="DR271" i="1"/>
  <c r="DM271" i="1"/>
  <c r="DO271" i="1"/>
  <c r="DP271" i="1"/>
  <c r="DT271" i="1"/>
  <c r="DZ271" i="1" s="1"/>
  <c r="FX271" i="1"/>
  <c r="GF271" i="1"/>
  <c r="FZ271" i="1"/>
  <c r="GB271" i="1"/>
  <c r="GC271" i="1" s="1"/>
  <c r="GD271" i="1"/>
  <c r="GE271" i="1" s="1"/>
  <c r="DS270" i="1"/>
  <c r="DL270" i="1"/>
  <c r="DH270" i="1" s="1"/>
  <c r="DE270" i="1" s="1"/>
  <c r="DD270" i="1" s="1"/>
  <c r="DU270" i="1"/>
  <c r="DV270" i="1" s="1"/>
  <c r="DW270" i="1"/>
  <c r="DX270" i="1" s="1"/>
  <c r="DQ270" i="1"/>
  <c r="DY270" i="1"/>
  <c r="DJ272" i="1"/>
  <c r="DN272" i="1"/>
  <c r="DG152" i="1"/>
  <c r="DJ151" i="1"/>
  <c r="DN151" i="1"/>
  <c r="DY149" i="1"/>
  <c r="DS149" i="1"/>
  <c r="DL149" i="1"/>
  <c r="DH149" i="1" s="1"/>
  <c r="DE149" i="1" s="1"/>
  <c r="DD149" i="1" s="1"/>
  <c r="DU149" i="1"/>
  <c r="DV149" i="1" s="1"/>
  <c r="DW149" i="1"/>
  <c r="DX149" i="1" s="1"/>
  <c r="DQ149" i="1"/>
  <c r="FQ273" i="1"/>
  <c r="FU273" i="1"/>
  <c r="GB149" i="1"/>
  <c r="GC149" i="1" s="1"/>
  <c r="GD149" i="1"/>
  <c r="GE149" i="1" s="1"/>
  <c r="GF149" i="1"/>
  <c r="FX149" i="1"/>
  <c r="FZ149" i="1"/>
  <c r="ER273" i="1"/>
  <c r="EO273" i="1"/>
  <c r="EV273" i="1"/>
  <c r="FB273" i="1" s="1"/>
  <c r="ET273" i="1"/>
  <c r="EQ273" i="1"/>
  <c r="CO273" i="1"/>
  <c r="CU273" i="1" s="1"/>
  <c r="CM273" i="1"/>
  <c r="CK273" i="1"/>
  <c r="CJ273" i="1"/>
  <c r="CH273" i="1"/>
  <c r="DG273" i="1"/>
  <c r="EY272" i="1"/>
  <c r="EZ272" i="1" s="1"/>
  <c r="EW272" i="1"/>
  <c r="EX272" i="1" s="1"/>
  <c r="EN272" i="1"/>
  <c r="EJ272" i="1" s="1"/>
  <c r="EG272" i="1" s="1"/>
  <c r="EF272" i="1" s="1"/>
  <c r="EU272" i="1"/>
  <c r="FA272" i="1"/>
  <c r="ES272" i="1"/>
  <c r="EI275" i="1"/>
  <c r="EP274" i="1"/>
  <c r="EL274" i="1"/>
  <c r="CE274" i="1"/>
  <c r="CB275" i="1"/>
  <c r="CI274" i="1"/>
  <c r="CT272" i="1"/>
  <c r="CL272" i="1"/>
  <c r="CR272" i="1"/>
  <c r="CS272" i="1" s="1"/>
  <c r="CP272" i="1"/>
  <c r="CQ272" i="1" s="1"/>
  <c r="CN272" i="1"/>
  <c r="CG272" i="1"/>
  <c r="CC272" i="1" s="1"/>
  <c r="BZ272" i="1" s="1"/>
  <c r="BY272" i="1" s="1"/>
  <c r="FN274" i="1"/>
  <c r="EW152" i="1"/>
  <c r="EX152" i="1" s="1"/>
  <c r="EN152" i="1"/>
  <c r="EJ152" i="1" s="1"/>
  <c r="EG152" i="1" s="1"/>
  <c r="EF152" i="1" s="1"/>
  <c r="FA152" i="1"/>
  <c r="ES152" i="1"/>
  <c r="EY152" i="1"/>
  <c r="EZ152" i="1" s="1"/>
  <c r="EU152" i="1"/>
  <c r="CI155" i="1"/>
  <c r="CE155" i="1"/>
  <c r="CB156" i="1"/>
  <c r="CM154" i="1"/>
  <c r="CO154" i="1"/>
  <c r="CU154" i="1" s="1"/>
  <c r="CK154" i="1"/>
  <c r="CJ154" i="1"/>
  <c r="CH154" i="1"/>
  <c r="CT153" i="1"/>
  <c r="CL153" i="1"/>
  <c r="CR153" i="1"/>
  <c r="CS153" i="1" s="1"/>
  <c r="CP153" i="1"/>
  <c r="CQ153" i="1" s="1"/>
  <c r="CN153" i="1"/>
  <c r="CG153" i="1"/>
  <c r="CC153" i="1" s="1"/>
  <c r="BZ153" i="1" s="1"/>
  <c r="BY153" i="1" s="1"/>
  <c r="EP154" i="1"/>
  <c r="EL154" i="1"/>
  <c r="EI155" i="1"/>
  <c r="EO153" i="1"/>
  <c r="ET153" i="1"/>
  <c r="ER153" i="1"/>
  <c r="EQ153" i="1"/>
  <c r="EV153" i="1"/>
  <c r="FB153" i="1" s="1"/>
  <c r="AR41" i="20"/>
  <c r="BN42" i="20"/>
  <c r="BO76" i="20"/>
  <c r="AS75" i="20"/>
  <c r="AS41" i="20"/>
  <c r="BO42" i="20"/>
  <c r="AT75" i="20"/>
  <c r="BP76" i="20"/>
  <c r="AR59" i="20"/>
  <c r="BN60" i="20"/>
  <c r="BP59" i="20"/>
  <c r="AT58" i="20"/>
  <c r="AT41" i="20"/>
  <c r="BP42" i="20"/>
  <c r="BN77" i="20"/>
  <c r="AR76" i="20"/>
  <c r="BO59" i="20"/>
  <c r="AS58" i="20"/>
  <c r="ER33" i="1"/>
  <c r="ET33" i="1"/>
  <c r="EO33" i="1"/>
  <c r="EV33" i="1"/>
  <c r="FB33" i="1" s="1"/>
  <c r="EQ33" i="1"/>
  <c r="DG32" i="1"/>
  <c r="DJ31" i="1"/>
  <c r="DN31" i="1"/>
  <c r="FY30" i="1"/>
  <c r="FT30" i="1"/>
  <c r="GA30" i="1"/>
  <c r="GG30" i="1" s="1"/>
  <c r="FS30" i="1" s="1"/>
  <c r="FO30" i="1" s="1"/>
  <c r="FL30" i="1" s="1"/>
  <c r="FK30" i="1" s="1"/>
  <c r="FV30" i="1"/>
  <c r="FW30" i="1"/>
  <c r="EY32" i="1"/>
  <c r="EZ32" i="1" s="1"/>
  <c r="EN32" i="1"/>
  <c r="EJ32" i="1" s="1"/>
  <c r="EG32" i="1" s="1"/>
  <c r="EF32" i="1" s="1"/>
  <c r="EU32" i="1"/>
  <c r="EW32" i="1"/>
  <c r="EX32" i="1" s="1"/>
  <c r="FA32" i="1"/>
  <c r="ES32" i="1"/>
  <c r="DR30" i="1"/>
  <c r="DO30" i="1"/>
  <c r="DP30" i="1"/>
  <c r="DT30" i="1"/>
  <c r="DZ30" i="1" s="1"/>
  <c r="DM30" i="1"/>
  <c r="GD29" i="1"/>
  <c r="GE29" i="1" s="1"/>
  <c r="FZ29" i="1"/>
  <c r="FX29" i="1"/>
  <c r="GF29" i="1"/>
  <c r="GB29" i="1"/>
  <c r="GC29" i="1" s="1"/>
  <c r="CR30" i="1"/>
  <c r="CS30" i="1" s="1"/>
  <c r="CT30" i="1"/>
  <c r="CL30" i="1"/>
  <c r="CP30" i="1"/>
  <c r="CQ30" i="1" s="1"/>
  <c r="CG30" i="1"/>
  <c r="CC30" i="1" s="1"/>
  <c r="BZ30" i="1" s="1"/>
  <c r="BY30" i="1" s="1"/>
  <c r="CN30" i="1"/>
  <c r="FN32" i="1"/>
  <c r="FQ31" i="1"/>
  <c r="FU31" i="1"/>
  <c r="CK31" i="1"/>
  <c r="CO31" i="1"/>
  <c r="CU31" i="1" s="1"/>
  <c r="CJ31" i="1"/>
  <c r="CH31" i="1"/>
  <c r="CM31" i="1"/>
  <c r="DL29" i="1"/>
  <c r="DH29" i="1" s="1"/>
  <c r="DE29" i="1" s="1"/>
  <c r="DD29" i="1" s="1"/>
  <c r="DQ29" i="1"/>
  <c r="DS29" i="1"/>
  <c r="DW29" i="1"/>
  <c r="DX29" i="1" s="1"/>
  <c r="DU29" i="1"/>
  <c r="DV29" i="1" s="1"/>
  <c r="DY29" i="1"/>
  <c r="CB33" i="1"/>
  <c r="CE32" i="1"/>
  <c r="CI32" i="1"/>
  <c r="EI35" i="1"/>
  <c r="EL34" i="1"/>
  <c r="EP34" i="1"/>
  <c r="FT273" i="1" l="1"/>
  <c r="FV273" i="1"/>
  <c r="FW273" i="1"/>
  <c r="FY273" i="1"/>
  <c r="GA273" i="1"/>
  <c r="GG273" i="1" s="1"/>
  <c r="FS273" i="1" s="1"/>
  <c r="FO273" i="1" s="1"/>
  <c r="FL273" i="1" s="1"/>
  <c r="FK273" i="1" s="1"/>
  <c r="DT151" i="1"/>
  <c r="DZ151" i="1" s="1"/>
  <c r="DM151" i="1"/>
  <c r="DR151" i="1"/>
  <c r="DO151" i="1"/>
  <c r="DP151" i="1"/>
  <c r="GD150" i="1"/>
  <c r="GE150" i="1" s="1"/>
  <c r="GF150" i="1"/>
  <c r="GB150" i="1"/>
  <c r="GC150" i="1" s="1"/>
  <c r="FX150" i="1"/>
  <c r="FZ150" i="1"/>
  <c r="DL150" i="1"/>
  <c r="DH150" i="1" s="1"/>
  <c r="DE150" i="1" s="1"/>
  <c r="DD150" i="1" s="1"/>
  <c r="DU150" i="1"/>
  <c r="DV150" i="1" s="1"/>
  <c r="DW150" i="1"/>
  <c r="DX150" i="1" s="1"/>
  <c r="DQ150" i="1"/>
  <c r="DY150" i="1"/>
  <c r="DS150" i="1"/>
  <c r="DJ273" i="1"/>
  <c r="DN273" i="1"/>
  <c r="DJ152" i="1"/>
  <c r="DG153" i="1"/>
  <c r="DN152" i="1"/>
  <c r="DO272" i="1"/>
  <c r="DP272" i="1"/>
  <c r="DR272" i="1"/>
  <c r="DM272" i="1"/>
  <c r="DT272" i="1"/>
  <c r="DZ272" i="1" s="1"/>
  <c r="DW271" i="1"/>
  <c r="DX271" i="1" s="1"/>
  <c r="DL271" i="1"/>
  <c r="DH271" i="1" s="1"/>
  <c r="DE271" i="1" s="1"/>
  <c r="DD271" i="1" s="1"/>
  <c r="DU271" i="1"/>
  <c r="DV271" i="1" s="1"/>
  <c r="DQ271" i="1"/>
  <c r="DY271" i="1"/>
  <c r="DS271" i="1"/>
  <c r="GB272" i="1"/>
  <c r="GC272" i="1" s="1"/>
  <c r="FX272" i="1"/>
  <c r="GD272" i="1"/>
  <c r="GE272" i="1" s="1"/>
  <c r="GF272" i="1"/>
  <c r="FZ272" i="1"/>
  <c r="FQ152" i="1"/>
  <c r="FU152" i="1"/>
  <c r="FN153" i="1"/>
  <c r="FQ274" i="1"/>
  <c r="FU274" i="1"/>
  <c r="FW151" i="1"/>
  <c r="FY151" i="1"/>
  <c r="FV151" i="1"/>
  <c r="FT151" i="1"/>
  <c r="GA151" i="1"/>
  <c r="GG151" i="1" s="1"/>
  <c r="FS151" i="1" s="1"/>
  <c r="FO151" i="1" s="1"/>
  <c r="FL151" i="1" s="1"/>
  <c r="FK151" i="1" s="1"/>
  <c r="FN275" i="1"/>
  <c r="ER274" i="1"/>
  <c r="EQ274" i="1"/>
  <c r="EO274" i="1"/>
  <c r="EV274" i="1"/>
  <c r="FB274" i="1" s="1"/>
  <c r="ET274" i="1"/>
  <c r="EI276" i="1"/>
  <c r="EP275" i="1"/>
  <c r="EL275" i="1"/>
  <c r="CE275" i="1"/>
  <c r="CB276" i="1"/>
  <c r="CI275" i="1"/>
  <c r="DG274" i="1"/>
  <c r="CG273" i="1"/>
  <c r="CC273" i="1" s="1"/>
  <c r="BZ273" i="1" s="1"/>
  <c r="BY273" i="1" s="1"/>
  <c r="CT273" i="1"/>
  <c r="CL273" i="1"/>
  <c r="CN273" i="1"/>
  <c r="CR273" i="1"/>
  <c r="CS273" i="1" s="1"/>
  <c r="CP273" i="1"/>
  <c r="CQ273" i="1" s="1"/>
  <c r="EW273" i="1"/>
  <c r="EX273" i="1" s="1"/>
  <c r="EN273" i="1"/>
  <c r="EJ273" i="1" s="1"/>
  <c r="EG273" i="1" s="1"/>
  <c r="EF273" i="1" s="1"/>
  <c r="EU273" i="1"/>
  <c r="FA273" i="1"/>
  <c r="EY273" i="1"/>
  <c r="EZ273" i="1" s="1"/>
  <c r="ES273" i="1"/>
  <c r="CO274" i="1"/>
  <c r="CU274" i="1" s="1"/>
  <c r="CM274" i="1"/>
  <c r="CK274" i="1"/>
  <c r="CJ274" i="1"/>
  <c r="CH274" i="1"/>
  <c r="CT154" i="1"/>
  <c r="CL154" i="1"/>
  <c r="CP154" i="1"/>
  <c r="CQ154" i="1" s="1"/>
  <c r="CR154" i="1"/>
  <c r="CS154" i="1" s="1"/>
  <c r="CN154" i="1"/>
  <c r="CG154" i="1"/>
  <c r="CC154" i="1" s="1"/>
  <c r="BZ154" i="1" s="1"/>
  <c r="BY154" i="1" s="1"/>
  <c r="CI156" i="1"/>
  <c r="CE156" i="1"/>
  <c r="CB157" i="1"/>
  <c r="EP155" i="1"/>
  <c r="EL155" i="1"/>
  <c r="EI156" i="1"/>
  <c r="CM155" i="1"/>
  <c r="CO155" i="1"/>
  <c r="CU155" i="1" s="1"/>
  <c r="CK155" i="1"/>
  <c r="CJ155" i="1"/>
  <c r="CH155" i="1"/>
  <c r="EW153" i="1"/>
  <c r="EX153" i="1" s="1"/>
  <c r="FA153" i="1"/>
  <c r="EN153" i="1"/>
  <c r="EJ153" i="1" s="1"/>
  <c r="EG153" i="1" s="1"/>
  <c r="EF153" i="1" s="1"/>
  <c r="EY153" i="1"/>
  <c r="EZ153" i="1" s="1"/>
  <c r="EU153" i="1"/>
  <c r="ES153" i="1"/>
  <c r="EO154" i="1"/>
  <c r="ET154" i="1"/>
  <c r="EQ154" i="1"/>
  <c r="EV154" i="1"/>
  <c r="FB154" i="1" s="1"/>
  <c r="ER154" i="1"/>
  <c r="AT76" i="20"/>
  <c r="BP77" i="20"/>
  <c r="BP43" i="20"/>
  <c r="AT42" i="20"/>
  <c r="AS42" i="20"/>
  <c r="BO43" i="20"/>
  <c r="BO44" i="20" s="1"/>
  <c r="AR77" i="20"/>
  <c r="BN78" i="20"/>
  <c r="BP60" i="20"/>
  <c r="AT59" i="20"/>
  <c r="AS76" i="20"/>
  <c r="BO77" i="20"/>
  <c r="AR60" i="20"/>
  <c r="BN61" i="20"/>
  <c r="BN62" i="20" s="1"/>
  <c r="AR42" i="20"/>
  <c r="BN43" i="20"/>
  <c r="BN44" i="20" s="1"/>
  <c r="AS59" i="20"/>
  <c r="BO60" i="20"/>
  <c r="EO34" i="1"/>
  <c r="EQ34" i="1"/>
  <c r="EV34" i="1"/>
  <c r="FB34" i="1" s="1"/>
  <c r="ER34" i="1"/>
  <c r="ET34" i="1"/>
  <c r="DO31" i="1"/>
  <c r="DP31" i="1"/>
  <c r="DR31" i="1"/>
  <c r="DM31" i="1"/>
  <c r="DT31" i="1"/>
  <c r="DZ31" i="1" s="1"/>
  <c r="GF30" i="1"/>
  <c r="FZ30" i="1"/>
  <c r="GD30" i="1"/>
  <c r="GE30" i="1" s="1"/>
  <c r="GB30" i="1"/>
  <c r="GC30" i="1" s="1"/>
  <c r="FX30" i="1"/>
  <c r="DJ32" i="1"/>
  <c r="DG33" i="1"/>
  <c r="DN32" i="1"/>
  <c r="EI36" i="1"/>
  <c r="EL35" i="1"/>
  <c r="EP35" i="1"/>
  <c r="CJ32" i="1"/>
  <c r="CK32" i="1"/>
  <c r="CM32" i="1"/>
  <c r="CO32" i="1"/>
  <c r="CU32" i="1" s="1"/>
  <c r="CH32" i="1"/>
  <c r="CE33" i="1"/>
  <c r="CB34" i="1"/>
  <c r="CI33" i="1"/>
  <c r="CP31" i="1"/>
  <c r="CQ31" i="1" s="1"/>
  <c r="CL31" i="1"/>
  <c r="CR31" i="1"/>
  <c r="CS31" i="1" s="1"/>
  <c r="CT31" i="1"/>
  <c r="CG31" i="1"/>
  <c r="CC31" i="1" s="1"/>
  <c r="BZ31" i="1" s="1"/>
  <c r="BY31" i="1" s="1"/>
  <c r="CN31" i="1"/>
  <c r="FA33" i="1"/>
  <c r="EN33" i="1"/>
  <c r="EJ33" i="1" s="1"/>
  <c r="EG33" i="1" s="1"/>
  <c r="EF33" i="1" s="1"/>
  <c r="EU33" i="1"/>
  <c r="EW33" i="1"/>
  <c r="EX33" i="1" s="1"/>
  <c r="ES33" i="1"/>
  <c r="EY33" i="1"/>
  <c r="EZ33" i="1" s="1"/>
  <c r="DS30" i="1"/>
  <c r="DW30" i="1"/>
  <c r="DX30" i="1" s="1"/>
  <c r="DU30" i="1"/>
  <c r="DV30" i="1" s="1"/>
  <c r="DQ30" i="1"/>
  <c r="DY30" i="1"/>
  <c r="DL30" i="1"/>
  <c r="DH30" i="1" s="1"/>
  <c r="DE30" i="1" s="1"/>
  <c r="DD30" i="1" s="1"/>
  <c r="FY31" i="1"/>
  <c r="FT31" i="1"/>
  <c r="FW31" i="1"/>
  <c r="FV31" i="1"/>
  <c r="GA31" i="1"/>
  <c r="GG31" i="1" s="1"/>
  <c r="FS31" i="1" s="1"/>
  <c r="FO31" i="1" s="1"/>
  <c r="FL31" i="1" s="1"/>
  <c r="FK31" i="1" s="1"/>
  <c r="FN33" i="1"/>
  <c r="FQ32" i="1"/>
  <c r="FU32" i="1"/>
  <c r="FT274" i="1" l="1"/>
  <c r="FV274" i="1"/>
  <c r="FY274" i="1"/>
  <c r="FW274" i="1"/>
  <c r="GA274" i="1"/>
  <c r="GG274" i="1" s="1"/>
  <c r="FS274" i="1" s="1"/>
  <c r="FO274" i="1" s="1"/>
  <c r="FL274" i="1" s="1"/>
  <c r="FK274" i="1" s="1"/>
  <c r="DM273" i="1"/>
  <c r="DP273" i="1"/>
  <c r="DO273" i="1"/>
  <c r="DR273" i="1"/>
  <c r="DT273" i="1"/>
  <c r="DZ273" i="1" s="1"/>
  <c r="DS151" i="1"/>
  <c r="DL151" i="1"/>
  <c r="DH151" i="1" s="1"/>
  <c r="DE151" i="1" s="1"/>
  <c r="DD151" i="1" s="1"/>
  <c r="DQ151" i="1"/>
  <c r="DY151" i="1"/>
  <c r="DU151" i="1"/>
  <c r="DV151" i="1" s="1"/>
  <c r="DW151" i="1"/>
  <c r="DX151" i="1" s="1"/>
  <c r="DQ272" i="1"/>
  <c r="DY272" i="1"/>
  <c r="DS272" i="1"/>
  <c r="DU272" i="1"/>
  <c r="DV272" i="1" s="1"/>
  <c r="DW272" i="1"/>
  <c r="DX272" i="1" s="1"/>
  <c r="DL272" i="1"/>
  <c r="DH272" i="1" s="1"/>
  <c r="DE272" i="1" s="1"/>
  <c r="DD272" i="1" s="1"/>
  <c r="FQ153" i="1"/>
  <c r="FU153" i="1"/>
  <c r="FN154" i="1"/>
  <c r="FQ275" i="1"/>
  <c r="FU275" i="1"/>
  <c r="FV152" i="1"/>
  <c r="FW152" i="1"/>
  <c r="FY152" i="1"/>
  <c r="FT152" i="1"/>
  <c r="GA152" i="1"/>
  <c r="GG152" i="1" s="1"/>
  <c r="FS152" i="1" s="1"/>
  <c r="FO152" i="1" s="1"/>
  <c r="FL152" i="1" s="1"/>
  <c r="FK152" i="1" s="1"/>
  <c r="GD151" i="1"/>
  <c r="GE151" i="1" s="1"/>
  <c r="FX151" i="1"/>
  <c r="GF151" i="1"/>
  <c r="GB151" i="1"/>
  <c r="GC151" i="1" s="1"/>
  <c r="FZ151" i="1"/>
  <c r="DP152" i="1"/>
  <c r="DR152" i="1"/>
  <c r="DT152" i="1"/>
  <c r="DZ152" i="1" s="1"/>
  <c r="DM152" i="1"/>
  <c r="DO152" i="1"/>
  <c r="DJ274" i="1"/>
  <c r="DN274" i="1"/>
  <c r="DN153" i="1"/>
  <c r="DJ153" i="1"/>
  <c r="DG154" i="1"/>
  <c r="GF273" i="1"/>
  <c r="GB273" i="1"/>
  <c r="GC273" i="1" s="1"/>
  <c r="GD273" i="1"/>
  <c r="GE273" i="1" s="1"/>
  <c r="FX273" i="1"/>
  <c r="FZ273" i="1"/>
  <c r="CB277" i="1"/>
  <c r="CE276" i="1"/>
  <c r="CI276" i="1"/>
  <c r="ER275" i="1"/>
  <c r="EQ275" i="1"/>
  <c r="EO275" i="1"/>
  <c r="EV275" i="1"/>
  <c r="FB275" i="1" s="1"/>
  <c r="ET275" i="1"/>
  <c r="CO275" i="1"/>
  <c r="CU275" i="1" s="1"/>
  <c r="CM275" i="1"/>
  <c r="CK275" i="1"/>
  <c r="CJ275" i="1"/>
  <c r="CH275" i="1"/>
  <c r="CG274" i="1"/>
  <c r="CC274" i="1" s="1"/>
  <c r="BZ274" i="1" s="1"/>
  <c r="BY274" i="1" s="1"/>
  <c r="CN274" i="1"/>
  <c r="CT274" i="1"/>
  <c r="CL274" i="1"/>
  <c r="CR274" i="1"/>
  <c r="CS274" i="1" s="1"/>
  <c r="CP274" i="1"/>
  <c r="CQ274" i="1" s="1"/>
  <c r="DG275" i="1"/>
  <c r="EI277" i="1"/>
  <c r="EP276" i="1"/>
  <c r="EL276" i="1"/>
  <c r="FN276" i="1"/>
  <c r="EY274" i="1"/>
  <c r="EZ274" i="1" s="1"/>
  <c r="EW274" i="1"/>
  <c r="EX274" i="1" s="1"/>
  <c r="EN274" i="1"/>
  <c r="EJ274" i="1" s="1"/>
  <c r="EG274" i="1" s="1"/>
  <c r="EF274" i="1" s="1"/>
  <c r="EU274" i="1"/>
  <c r="ES274" i="1"/>
  <c r="FA274" i="1"/>
  <c r="CT155" i="1"/>
  <c r="CL155" i="1"/>
  <c r="CN155" i="1"/>
  <c r="CG155" i="1"/>
  <c r="CC155" i="1" s="1"/>
  <c r="BZ155" i="1" s="1"/>
  <c r="BY155" i="1" s="1"/>
  <c r="CR155" i="1"/>
  <c r="CS155" i="1" s="1"/>
  <c r="CP155" i="1"/>
  <c r="CQ155" i="1" s="1"/>
  <c r="EP156" i="1"/>
  <c r="EI157" i="1"/>
  <c r="EL156" i="1"/>
  <c r="CE157" i="1"/>
  <c r="CB158" i="1"/>
  <c r="CI157" i="1"/>
  <c r="EW154" i="1"/>
  <c r="EX154" i="1" s="1"/>
  <c r="FA154" i="1"/>
  <c r="EN154" i="1"/>
  <c r="EJ154" i="1" s="1"/>
  <c r="EG154" i="1" s="1"/>
  <c r="EF154" i="1" s="1"/>
  <c r="EY154" i="1"/>
  <c r="EZ154" i="1" s="1"/>
  <c r="EU154" i="1"/>
  <c r="ES154" i="1"/>
  <c r="EO155" i="1"/>
  <c r="ET155" i="1"/>
  <c r="EV155" i="1"/>
  <c r="FB155" i="1" s="1"/>
  <c r="EQ155" i="1"/>
  <c r="ER155" i="1"/>
  <c r="CM156" i="1"/>
  <c r="CK156" i="1"/>
  <c r="CJ156" i="1"/>
  <c r="CO156" i="1"/>
  <c r="CU156" i="1" s="1"/>
  <c r="CH156" i="1"/>
  <c r="AR78" i="20"/>
  <c r="BN79" i="20"/>
  <c r="BN80" i="20" s="1"/>
  <c r="BO78" i="20"/>
  <c r="AS77" i="20"/>
  <c r="AT43" i="20"/>
  <c r="BP44" i="20"/>
  <c r="AS60" i="20"/>
  <c r="BO61" i="20"/>
  <c r="BO62" i="20" s="1"/>
  <c r="AT77" i="20"/>
  <c r="BP78" i="20"/>
  <c r="AT60" i="20"/>
  <c r="BP61" i="20"/>
  <c r="EI37" i="1"/>
  <c r="EL36" i="1"/>
  <c r="EP36" i="1"/>
  <c r="FT32" i="1"/>
  <c r="FV32" i="1"/>
  <c r="FY32" i="1"/>
  <c r="GA32" i="1"/>
  <c r="GG32" i="1" s="1"/>
  <c r="FS32" i="1" s="1"/>
  <c r="FO32" i="1" s="1"/>
  <c r="FL32" i="1" s="1"/>
  <c r="FK32" i="1" s="1"/>
  <c r="FW32" i="1"/>
  <c r="EN34" i="1"/>
  <c r="EJ34" i="1" s="1"/>
  <c r="EG34" i="1" s="1"/>
  <c r="EF34" i="1" s="1"/>
  <c r="EW34" i="1"/>
  <c r="EX34" i="1" s="1"/>
  <c r="FA34" i="1"/>
  <c r="EU34" i="1"/>
  <c r="EY34" i="1"/>
  <c r="EZ34" i="1" s="1"/>
  <c r="ES34" i="1"/>
  <c r="CK33" i="1"/>
  <c r="CO33" i="1"/>
  <c r="CU33" i="1" s="1"/>
  <c r="CH33" i="1"/>
  <c r="CJ33" i="1"/>
  <c r="CM33" i="1"/>
  <c r="CB35" i="1"/>
  <c r="CE34" i="1"/>
  <c r="CI34" i="1"/>
  <c r="ET35" i="1"/>
  <c r="EO35" i="1"/>
  <c r="EV35" i="1"/>
  <c r="FB35" i="1" s="1"/>
  <c r="ER35" i="1"/>
  <c r="EQ35" i="1"/>
  <c r="DQ31" i="1"/>
  <c r="DW31" i="1"/>
  <c r="DX31" i="1" s="1"/>
  <c r="DY31" i="1"/>
  <c r="DL31" i="1"/>
  <c r="DH31" i="1" s="1"/>
  <c r="DE31" i="1" s="1"/>
  <c r="DD31" i="1" s="1"/>
  <c r="DU31" i="1"/>
  <c r="DV31" i="1" s="1"/>
  <c r="DS31" i="1"/>
  <c r="CN32" i="1"/>
  <c r="CP32" i="1"/>
  <c r="CQ32" i="1" s="1"/>
  <c r="CG32" i="1"/>
  <c r="CC32" i="1" s="1"/>
  <c r="BZ32" i="1" s="1"/>
  <c r="BY32" i="1" s="1"/>
  <c r="CT32" i="1"/>
  <c r="CR32" i="1"/>
  <c r="CS32" i="1" s="1"/>
  <c r="CL32" i="1"/>
  <c r="DP32" i="1"/>
  <c r="DR32" i="1"/>
  <c r="DO32" i="1"/>
  <c r="DT32" i="1"/>
  <c r="DZ32" i="1" s="1"/>
  <c r="DM32" i="1"/>
  <c r="GB31" i="1"/>
  <c r="GC31" i="1" s="1"/>
  <c r="FZ31" i="1"/>
  <c r="FX31" i="1"/>
  <c r="GF31" i="1"/>
  <c r="GD31" i="1"/>
  <c r="GE31" i="1" s="1"/>
  <c r="DJ33" i="1"/>
  <c r="DG34" i="1"/>
  <c r="DN33" i="1"/>
  <c r="FN34" i="1"/>
  <c r="FQ33" i="1"/>
  <c r="FU33" i="1"/>
  <c r="FV153" i="1" l="1"/>
  <c r="FW153" i="1"/>
  <c r="FT153" i="1"/>
  <c r="FY153" i="1"/>
  <c r="GA153" i="1"/>
  <c r="GG153" i="1" s="1"/>
  <c r="FS153" i="1" s="1"/>
  <c r="FO153" i="1" s="1"/>
  <c r="FL153" i="1" s="1"/>
  <c r="FK153" i="1" s="1"/>
  <c r="DJ275" i="1"/>
  <c r="DN275" i="1"/>
  <c r="DG155" i="1"/>
  <c r="DN154" i="1"/>
  <c r="DJ154" i="1"/>
  <c r="GB152" i="1"/>
  <c r="GC152" i="1" s="1"/>
  <c r="GD152" i="1"/>
  <c r="GE152" i="1" s="1"/>
  <c r="FX152" i="1"/>
  <c r="GF152" i="1"/>
  <c r="FZ152" i="1"/>
  <c r="DS273" i="1"/>
  <c r="DU273" i="1"/>
  <c r="DV273" i="1" s="1"/>
  <c r="DW273" i="1"/>
  <c r="DX273" i="1" s="1"/>
  <c r="DQ273" i="1"/>
  <c r="DY273" i="1"/>
  <c r="DL273" i="1"/>
  <c r="DH273" i="1" s="1"/>
  <c r="DE273" i="1" s="1"/>
  <c r="DD273" i="1" s="1"/>
  <c r="DM153" i="1"/>
  <c r="DT153" i="1"/>
  <c r="DZ153" i="1" s="1"/>
  <c r="DO153" i="1"/>
  <c r="DR153" i="1"/>
  <c r="DP153" i="1"/>
  <c r="DO274" i="1"/>
  <c r="DM274" i="1"/>
  <c r="DR274" i="1"/>
  <c r="DP274" i="1"/>
  <c r="DT274" i="1"/>
  <c r="DZ274" i="1" s="1"/>
  <c r="FQ276" i="1"/>
  <c r="FU276" i="1"/>
  <c r="FW275" i="1"/>
  <c r="FY275" i="1"/>
  <c r="FT275" i="1"/>
  <c r="FV275" i="1"/>
  <c r="GA275" i="1"/>
  <c r="GG275" i="1" s="1"/>
  <c r="FS275" i="1" s="1"/>
  <c r="FO275" i="1" s="1"/>
  <c r="FL275" i="1" s="1"/>
  <c r="FK275" i="1" s="1"/>
  <c r="DU152" i="1"/>
  <c r="DV152" i="1" s="1"/>
  <c r="DQ152" i="1"/>
  <c r="DY152" i="1"/>
  <c r="DW152" i="1"/>
  <c r="DX152" i="1" s="1"/>
  <c r="DS152" i="1"/>
  <c r="DL152" i="1"/>
  <c r="DH152" i="1" s="1"/>
  <c r="DE152" i="1" s="1"/>
  <c r="DD152" i="1" s="1"/>
  <c r="FQ154" i="1"/>
  <c r="FU154" i="1"/>
  <c r="FN155" i="1"/>
  <c r="GD274" i="1"/>
  <c r="GE274" i="1" s="1"/>
  <c r="GB274" i="1"/>
  <c r="GC274" i="1" s="1"/>
  <c r="FX274" i="1"/>
  <c r="GF274" i="1"/>
  <c r="FZ274" i="1"/>
  <c r="FN277" i="1"/>
  <c r="EY275" i="1"/>
  <c r="EZ275" i="1" s="1"/>
  <c r="EW275" i="1"/>
  <c r="EX275" i="1" s="1"/>
  <c r="EN275" i="1"/>
  <c r="EJ275" i="1" s="1"/>
  <c r="EG275" i="1" s="1"/>
  <c r="EF275" i="1" s="1"/>
  <c r="EU275" i="1"/>
  <c r="FA275" i="1"/>
  <c r="ES275" i="1"/>
  <c r="EQ276" i="1"/>
  <c r="EO276" i="1"/>
  <c r="ET276" i="1"/>
  <c r="ER276" i="1"/>
  <c r="EV276" i="1"/>
  <c r="FB276" i="1" s="1"/>
  <c r="EP277" i="1"/>
  <c r="EI278" i="1"/>
  <c r="EL277" i="1"/>
  <c r="DG276" i="1"/>
  <c r="CO276" i="1"/>
  <c r="CU276" i="1" s="1"/>
  <c r="CM276" i="1"/>
  <c r="CK276" i="1"/>
  <c r="CJ276" i="1"/>
  <c r="CH276" i="1"/>
  <c r="CG275" i="1"/>
  <c r="CC275" i="1" s="1"/>
  <c r="BZ275" i="1" s="1"/>
  <c r="BY275" i="1" s="1"/>
  <c r="CN275" i="1"/>
  <c r="CT275" i="1"/>
  <c r="CL275" i="1"/>
  <c r="CR275" i="1"/>
  <c r="CS275" i="1" s="1"/>
  <c r="CP275" i="1"/>
  <c r="CQ275" i="1" s="1"/>
  <c r="CB278" i="1"/>
  <c r="CI277" i="1"/>
  <c r="CE277" i="1"/>
  <c r="EI158" i="1"/>
  <c r="EL157" i="1"/>
  <c r="EP157" i="1"/>
  <c r="CT156" i="1"/>
  <c r="CL156" i="1"/>
  <c r="CN156" i="1"/>
  <c r="CG156" i="1"/>
  <c r="CC156" i="1" s="1"/>
  <c r="BZ156" i="1" s="1"/>
  <c r="BY156" i="1" s="1"/>
  <c r="CR156" i="1"/>
  <c r="CS156" i="1" s="1"/>
  <c r="CP156" i="1"/>
  <c r="CQ156" i="1" s="1"/>
  <c r="CM157" i="1"/>
  <c r="CJ157" i="1"/>
  <c r="CK157" i="1"/>
  <c r="CH157" i="1"/>
  <c r="CO157" i="1"/>
  <c r="CU157" i="1" s="1"/>
  <c r="EO156" i="1"/>
  <c r="ET156" i="1"/>
  <c r="EV156" i="1"/>
  <c r="FB156" i="1" s="1"/>
  <c r="ER156" i="1"/>
  <c r="EQ156" i="1"/>
  <c r="CB159" i="1"/>
  <c r="CI158" i="1"/>
  <c r="CE158" i="1"/>
  <c r="EW155" i="1"/>
  <c r="EX155" i="1" s="1"/>
  <c r="FA155" i="1"/>
  <c r="EN155" i="1"/>
  <c r="EJ155" i="1" s="1"/>
  <c r="EG155" i="1" s="1"/>
  <c r="EF155" i="1" s="1"/>
  <c r="EY155" i="1"/>
  <c r="EZ155" i="1" s="1"/>
  <c r="EU155" i="1"/>
  <c r="ES155" i="1"/>
  <c r="BP45" i="20"/>
  <c r="BP46" i="20" s="1"/>
  <c r="AT44" i="20"/>
  <c r="AT61" i="20"/>
  <c r="BP62" i="20"/>
  <c r="AT62" i="20" s="1"/>
  <c r="AS78" i="20"/>
  <c r="BO79" i="20"/>
  <c r="BO80" i="20" s="1"/>
  <c r="AT78" i="20"/>
  <c r="BP79" i="20"/>
  <c r="FY33" i="1"/>
  <c r="GA33" i="1"/>
  <c r="GG33" i="1" s="1"/>
  <c r="FS33" i="1" s="1"/>
  <c r="FO33" i="1" s="1"/>
  <c r="FL33" i="1" s="1"/>
  <c r="FK33" i="1" s="1"/>
  <c r="FT33" i="1"/>
  <c r="FW33" i="1"/>
  <c r="FV33" i="1"/>
  <c r="EO36" i="1"/>
  <c r="EQ36" i="1"/>
  <c r="EV36" i="1"/>
  <c r="FB36" i="1" s="1"/>
  <c r="ER36" i="1"/>
  <c r="ET36" i="1"/>
  <c r="FN35" i="1"/>
  <c r="FQ34" i="1"/>
  <c r="FU34" i="1"/>
  <c r="DR33" i="1"/>
  <c r="DM33" i="1"/>
  <c r="DO33" i="1"/>
  <c r="DP33" i="1"/>
  <c r="DT33" i="1"/>
  <c r="DZ33" i="1" s="1"/>
  <c r="DL32" i="1"/>
  <c r="DH32" i="1" s="1"/>
  <c r="DE32" i="1" s="1"/>
  <c r="DD32" i="1" s="1"/>
  <c r="DS32" i="1"/>
  <c r="DU32" i="1"/>
  <c r="DV32" i="1" s="1"/>
  <c r="DY32" i="1"/>
  <c r="DW32" i="1"/>
  <c r="DX32" i="1" s="1"/>
  <c r="DQ32" i="1"/>
  <c r="ES35" i="1"/>
  <c r="EU35" i="1"/>
  <c r="EY35" i="1"/>
  <c r="EZ35" i="1" s="1"/>
  <c r="EN35" i="1"/>
  <c r="EJ35" i="1" s="1"/>
  <c r="EG35" i="1" s="1"/>
  <c r="EF35" i="1" s="1"/>
  <c r="FA35" i="1"/>
  <c r="EW35" i="1"/>
  <c r="EX35" i="1" s="1"/>
  <c r="GD32" i="1"/>
  <c r="GE32" i="1" s="1"/>
  <c r="GB32" i="1"/>
  <c r="GC32" i="1" s="1"/>
  <c r="GF32" i="1"/>
  <c r="FX32" i="1"/>
  <c r="FZ32" i="1"/>
  <c r="CP33" i="1"/>
  <c r="CQ33" i="1" s="1"/>
  <c r="CL33" i="1"/>
  <c r="CR33" i="1"/>
  <c r="CS33" i="1" s="1"/>
  <c r="CT33" i="1"/>
  <c r="CG33" i="1"/>
  <c r="CC33" i="1" s="1"/>
  <c r="BZ33" i="1" s="1"/>
  <c r="BY33" i="1" s="1"/>
  <c r="CN33" i="1"/>
  <c r="EI38" i="1"/>
  <c r="EL37" i="1"/>
  <c r="EP37" i="1"/>
  <c r="DJ34" i="1"/>
  <c r="DG35" i="1"/>
  <c r="DN34" i="1"/>
  <c r="CJ34" i="1"/>
  <c r="CK34" i="1"/>
  <c r="CM34" i="1"/>
  <c r="CO34" i="1"/>
  <c r="CU34" i="1" s="1"/>
  <c r="CH34" i="1"/>
  <c r="CE35" i="1"/>
  <c r="CB36" i="1"/>
  <c r="CI35" i="1"/>
  <c r="DG156" i="1" l="1"/>
  <c r="DN155" i="1"/>
  <c r="DJ155" i="1"/>
  <c r="FQ155" i="1"/>
  <c r="FU155" i="1"/>
  <c r="FN156" i="1"/>
  <c r="DO275" i="1"/>
  <c r="DM275" i="1"/>
  <c r="DP275" i="1"/>
  <c r="DR275" i="1"/>
  <c r="DT275" i="1"/>
  <c r="DZ275" i="1" s="1"/>
  <c r="FW154" i="1"/>
  <c r="FT154" i="1"/>
  <c r="FV154" i="1"/>
  <c r="FY154" i="1"/>
  <c r="GA154" i="1"/>
  <c r="GG154" i="1" s="1"/>
  <c r="FS154" i="1" s="1"/>
  <c r="FO154" i="1" s="1"/>
  <c r="FL154" i="1" s="1"/>
  <c r="FK154" i="1" s="1"/>
  <c r="DL153" i="1"/>
  <c r="DH153" i="1" s="1"/>
  <c r="DE153" i="1" s="1"/>
  <c r="DD153" i="1" s="1"/>
  <c r="DY153" i="1"/>
  <c r="DW153" i="1"/>
  <c r="DX153" i="1" s="1"/>
  <c r="DQ153" i="1"/>
  <c r="DS153" i="1"/>
  <c r="DU153" i="1"/>
  <c r="DV153" i="1" s="1"/>
  <c r="DJ276" i="1"/>
  <c r="DN276" i="1"/>
  <c r="GD275" i="1"/>
  <c r="GE275" i="1" s="1"/>
  <c r="FX275" i="1"/>
  <c r="FZ275" i="1"/>
  <c r="GF275" i="1"/>
  <c r="GB275" i="1"/>
  <c r="GC275" i="1" s="1"/>
  <c r="DU274" i="1"/>
  <c r="DV274" i="1" s="1"/>
  <c r="DL274" i="1"/>
  <c r="DH274" i="1" s="1"/>
  <c r="DE274" i="1" s="1"/>
  <c r="DD274" i="1" s="1"/>
  <c r="DW274" i="1"/>
  <c r="DX274" i="1" s="1"/>
  <c r="DQ274" i="1"/>
  <c r="DY274" i="1"/>
  <c r="DS274" i="1"/>
  <c r="FQ277" i="1"/>
  <c r="FU277" i="1"/>
  <c r="GD153" i="1"/>
  <c r="GE153" i="1" s="1"/>
  <c r="FX153" i="1"/>
  <c r="GF153" i="1"/>
  <c r="FZ153" i="1"/>
  <c r="GB153" i="1"/>
  <c r="GC153" i="1" s="1"/>
  <c r="FW276" i="1"/>
  <c r="FT276" i="1"/>
  <c r="FV276" i="1"/>
  <c r="FY276" i="1"/>
  <c r="GA276" i="1"/>
  <c r="GG276" i="1" s="1"/>
  <c r="FS276" i="1" s="1"/>
  <c r="FO276" i="1" s="1"/>
  <c r="FL276" i="1" s="1"/>
  <c r="FK276" i="1" s="1"/>
  <c r="DT154" i="1"/>
  <c r="DZ154" i="1" s="1"/>
  <c r="DM154" i="1"/>
  <c r="DO154" i="1"/>
  <c r="DP154" i="1"/>
  <c r="DR154" i="1"/>
  <c r="CO277" i="1"/>
  <c r="CU277" i="1" s="1"/>
  <c r="CM277" i="1"/>
  <c r="CK277" i="1"/>
  <c r="CJ277" i="1"/>
  <c r="CH277" i="1"/>
  <c r="EY276" i="1"/>
  <c r="EZ276" i="1" s="1"/>
  <c r="EW276" i="1"/>
  <c r="EX276" i="1" s="1"/>
  <c r="FA276" i="1"/>
  <c r="ES276" i="1"/>
  <c r="EU276" i="1"/>
  <c r="EN276" i="1"/>
  <c r="EJ276" i="1" s="1"/>
  <c r="EG276" i="1" s="1"/>
  <c r="EF276" i="1" s="1"/>
  <c r="CI278" i="1"/>
  <c r="CB279" i="1"/>
  <c r="CE278" i="1"/>
  <c r="DG277" i="1"/>
  <c r="EP278" i="1"/>
  <c r="EI279" i="1"/>
  <c r="EL278" i="1"/>
  <c r="ET277" i="1"/>
  <c r="ER277" i="1"/>
  <c r="EQ277" i="1"/>
  <c r="EV277" i="1"/>
  <c r="FB277" i="1" s="1"/>
  <c r="EO277" i="1"/>
  <c r="FN278" i="1"/>
  <c r="CG276" i="1"/>
  <c r="CC276" i="1" s="1"/>
  <c r="BZ276" i="1" s="1"/>
  <c r="BY276" i="1" s="1"/>
  <c r="CN276" i="1"/>
  <c r="CT276" i="1"/>
  <c r="CL276" i="1"/>
  <c r="CR276" i="1"/>
  <c r="CS276" i="1" s="1"/>
  <c r="CP276" i="1"/>
  <c r="CQ276" i="1" s="1"/>
  <c r="EL158" i="1"/>
  <c r="EI159" i="1"/>
  <c r="EP158" i="1"/>
  <c r="EW156" i="1"/>
  <c r="EX156" i="1" s="1"/>
  <c r="EY156" i="1"/>
  <c r="EZ156" i="1" s="1"/>
  <c r="EU156" i="1"/>
  <c r="ES156" i="1"/>
  <c r="FA156" i="1"/>
  <c r="EN156" i="1"/>
  <c r="EJ156" i="1" s="1"/>
  <c r="EG156" i="1" s="1"/>
  <c r="EF156" i="1" s="1"/>
  <c r="CJ158" i="1"/>
  <c r="CO158" i="1"/>
  <c r="CU158" i="1" s="1"/>
  <c r="CM158" i="1"/>
  <c r="CK158" i="1"/>
  <c r="CH158" i="1"/>
  <c r="CN157" i="1"/>
  <c r="CR157" i="1"/>
  <c r="CS157" i="1" s="1"/>
  <c r="CL157" i="1"/>
  <c r="CT157" i="1"/>
  <c r="CG157" i="1"/>
  <c r="CC157" i="1" s="1"/>
  <c r="BZ157" i="1" s="1"/>
  <c r="BY157" i="1" s="1"/>
  <c r="CP157" i="1"/>
  <c r="CQ157" i="1" s="1"/>
  <c r="CB160" i="1"/>
  <c r="CE159" i="1"/>
  <c r="CI159" i="1"/>
  <c r="ER157" i="1"/>
  <c r="EO157" i="1"/>
  <c r="EV157" i="1"/>
  <c r="FB157" i="1" s="1"/>
  <c r="ET157" i="1"/>
  <c r="EQ157" i="1"/>
  <c r="AT79" i="20"/>
  <c r="BP80" i="20"/>
  <c r="AT80" i="20" s="1"/>
  <c r="CT34" i="1"/>
  <c r="CR34" i="1"/>
  <c r="CS34" i="1" s="1"/>
  <c r="CG34" i="1"/>
  <c r="CC34" i="1" s="1"/>
  <c r="BZ34" i="1" s="1"/>
  <c r="BY34" i="1" s="1"/>
  <c r="CL34" i="1"/>
  <c r="CN34" i="1"/>
  <c r="CP34" i="1"/>
  <c r="CQ34" i="1" s="1"/>
  <c r="FN36" i="1"/>
  <c r="FQ35" i="1"/>
  <c r="FU35" i="1"/>
  <c r="EL38" i="1"/>
  <c r="EI39" i="1"/>
  <c r="EP38" i="1"/>
  <c r="EV37" i="1"/>
  <c r="FB37" i="1" s="1"/>
  <c r="EQ37" i="1"/>
  <c r="EO37" i="1"/>
  <c r="ER37" i="1"/>
  <c r="ET37" i="1"/>
  <c r="CK35" i="1"/>
  <c r="CM35" i="1"/>
  <c r="CH35" i="1"/>
  <c r="CO35" i="1"/>
  <c r="CU35" i="1" s="1"/>
  <c r="CJ35" i="1"/>
  <c r="DT34" i="1"/>
  <c r="DZ34" i="1" s="1"/>
  <c r="DM34" i="1"/>
  <c r="DO34" i="1"/>
  <c r="DP34" i="1"/>
  <c r="DR34" i="1"/>
  <c r="DW33" i="1"/>
  <c r="DX33" i="1" s="1"/>
  <c r="DU33" i="1"/>
  <c r="DV33" i="1" s="1"/>
  <c r="DQ33" i="1"/>
  <c r="DY33" i="1"/>
  <c r="DL33" i="1"/>
  <c r="DH33" i="1" s="1"/>
  <c r="DE33" i="1" s="1"/>
  <c r="DD33" i="1" s="1"/>
  <c r="DS33" i="1"/>
  <c r="DJ35" i="1"/>
  <c r="DG36" i="1"/>
  <c r="DN35" i="1"/>
  <c r="CE36" i="1"/>
  <c r="CB37" i="1"/>
  <c r="CI36" i="1"/>
  <c r="EW36" i="1"/>
  <c r="EX36" i="1" s="1"/>
  <c r="EU36" i="1"/>
  <c r="FA36" i="1"/>
  <c r="EY36" i="1"/>
  <c r="EZ36" i="1" s="1"/>
  <c r="EN36" i="1"/>
  <c r="EJ36" i="1" s="1"/>
  <c r="EG36" i="1" s="1"/>
  <c r="EF36" i="1" s="1"/>
  <c r="ES36" i="1"/>
  <c r="FY34" i="1"/>
  <c r="FV34" i="1"/>
  <c r="FT34" i="1"/>
  <c r="FW34" i="1"/>
  <c r="GA34" i="1"/>
  <c r="GG34" i="1" s="1"/>
  <c r="FS34" i="1" s="1"/>
  <c r="FO34" i="1" s="1"/>
  <c r="FL34" i="1" s="1"/>
  <c r="FK34" i="1" s="1"/>
  <c r="FX33" i="1"/>
  <c r="GD33" i="1"/>
  <c r="GE33" i="1" s="1"/>
  <c r="GB33" i="1"/>
  <c r="GC33" i="1" s="1"/>
  <c r="FZ33" i="1"/>
  <c r="GF33" i="1"/>
  <c r="DM276" i="1" l="1"/>
  <c r="DO276" i="1"/>
  <c r="DR276" i="1"/>
  <c r="DP276" i="1"/>
  <c r="DT276" i="1"/>
  <c r="DZ276" i="1" s="1"/>
  <c r="DW275" i="1"/>
  <c r="DX275" i="1" s="1"/>
  <c r="DU275" i="1"/>
  <c r="DV275" i="1" s="1"/>
  <c r="DL275" i="1"/>
  <c r="DH275" i="1" s="1"/>
  <c r="DE275" i="1" s="1"/>
  <c r="DD275" i="1" s="1"/>
  <c r="DY275" i="1"/>
  <c r="DQ275" i="1"/>
  <c r="DS275" i="1"/>
  <c r="FQ156" i="1"/>
  <c r="FU156" i="1"/>
  <c r="FN157" i="1"/>
  <c r="FY277" i="1"/>
  <c r="FW277" i="1"/>
  <c r="FT277" i="1"/>
  <c r="FV277" i="1"/>
  <c r="GA277" i="1"/>
  <c r="GG277" i="1" s="1"/>
  <c r="FS277" i="1" s="1"/>
  <c r="FO277" i="1" s="1"/>
  <c r="FL277" i="1" s="1"/>
  <c r="FK277" i="1" s="1"/>
  <c r="FX154" i="1"/>
  <c r="GB154" i="1"/>
  <c r="GC154" i="1" s="1"/>
  <c r="GD154" i="1"/>
  <c r="GE154" i="1" s="1"/>
  <c r="GF154" i="1"/>
  <c r="FZ154" i="1"/>
  <c r="GA155" i="1"/>
  <c r="GG155" i="1" s="1"/>
  <c r="FS155" i="1" s="1"/>
  <c r="FO155" i="1" s="1"/>
  <c r="FL155" i="1" s="1"/>
  <c r="FK155" i="1" s="1"/>
  <c r="FY155" i="1"/>
  <c r="FT155" i="1"/>
  <c r="FW155" i="1"/>
  <c r="FV155" i="1"/>
  <c r="FQ278" i="1"/>
  <c r="FU278" i="1"/>
  <c r="GB276" i="1"/>
  <c r="GC276" i="1" s="1"/>
  <c r="GD276" i="1"/>
  <c r="GE276" i="1" s="1"/>
  <c r="FX276" i="1"/>
  <c r="GF276" i="1"/>
  <c r="FZ276" i="1"/>
  <c r="DJ277" i="1"/>
  <c r="DN277" i="1"/>
  <c r="DO155" i="1"/>
  <c r="DP155" i="1"/>
  <c r="DR155" i="1"/>
  <c r="DM155" i="1"/>
  <c r="DT155" i="1"/>
  <c r="DZ155" i="1" s="1"/>
  <c r="DL154" i="1"/>
  <c r="DH154" i="1" s="1"/>
  <c r="DE154" i="1" s="1"/>
  <c r="DD154" i="1" s="1"/>
  <c r="DW154" i="1"/>
  <c r="DX154" i="1" s="1"/>
  <c r="DQ154" i="1"/>
  <c r="DY154" i="1"/>
  <c r="DU154" i="1"/>
  <c r="DV154" i="1" s="1"/>
  <c r="DS154" i="1"/>
  <c r="DG157" i="1"/>
  <c r="DJ156" i="1"/>
  <c r="DN156" i="1"/>
  <c r="EY277" i="1"/>
  <c r="EZ277" i="1" s="1"/>
  <c r="EN277" i="1"/>
  <c r="EJ277" i="1" s="1"/>
  <c r="EG277" i="1" s="1"/>
  <c r="EF277" i="1" s="1"/>
  <c r="FA277" i="1"/>
  <c r="EW277" i="1"/>
  <c r="EX277" i="1" s="1"/>
  <c r="EU277" i="1"/>
  <c r="ES277" i="1"/>
  <c r="DG278" i="1"/>
  <c r="EV278" i="1"/>
  <c r="FB278" i="1" s="1"/>
  <c r="ET278" i="1"/>
  <c r="ER278" i="1"/>
  <c r="EQ278" i="1"/>
  <c r="EO278" i="1"/>
  <c r="CB280" i="1"/>
  <c r="CI279" i="1"/>
  <c r="CE279" i="1"/>
  <c r="CG277" i="1"/>
  <c r="CC277" i="1" s="1"/>
  <c r="BZ277" i="1" s="1"/>
  <c r="BY277" i="1" s="1"/>
  <c r="CT277" i="1"/>
  <c r="CL277" i="1"/>
  <c r="CR277" i="1"/>
  <c r="CS277" i="1" s="1"/>
  <c r="CP277" i="1"/>
  <c r="CQ277" i="1" s="1"/>
  <c r="CN277" i="1"/>
  <c r="CK278" i="1"/>
  <c r="CH278" i="1"/>
  <c r="CO278" i="1"/>
  <c r="CU278" i="1" s="1"/>
  <c r="CM278" i="1"/>
  <c r="CJ278" i="1"/>
  <c r="FN279" i="1"/>
  <c r="EP279" i="1"/>
  <c r="EI280" i="1"/>
  <c r="EL279" i="1"/>
  <c r="CR158" i="1"/>
  <c r="CS158" i="1" s="1"/>
  <c r="CN158" i="1"/>
  <c r="CP158" i="1"/>
  <c r="CQ158" i="1" s="1"/>
  <c r="CL158" i="1"/>
  <c r="CT158" i="1"/>
  <c r="CG158" i="1"/>
  <c r="CC158" i="1" s="1"/>
  <c r="BZ158" i="1" s="1"/>
  <c r="BY158" i="1" s="1"/>
  <c r="EO158" i="1"/>
  <c r="ET158" i="1"/>
  <c r="ER158" i="1"/>
  <c r="EQ158" i="1"/>
  <c r="EV158" i="1"/>
  <c r="FB158" i="1" s="1"/>
  <c r="EL159" i="1"/>
  <c r="EP159" i="1"/>
  <c r="EI160" i="1"/>
  <c r="FA157" i="1"/>
  <c r="ES157" i="1"/>
  <c r="EW157" i="1"/>
  <c r="EX157" i="1" s="1"/>
  <c r="EN157" i="1"/>
  <c r="EJ157" i="1" s="1"/>
  <c r="EG157" i="1" s="1"/>
  <c r="EF157" i="1" s="1"/>
  <c r="EY157" i="1"/>
  <c r="EZ157" i="1" s="1"/>
  <c r="EU157" i="1"/>
  <c r="CO159" i="1"/>
  <c r="CU159" i="1" s="1"/>
  <c r="CK159" i="1"/>
  <c r="CJ159" i="1"/>
  <c r="CH159" i="1"/>
  <c r="CM159" i="1"/>
  <c r="CI160" i="1"/>
  <c r="CB161" i="1"/>
  <c r="CE160" i="1"/>
  <c r="CP35" i="1"/>
  <c r="CQ35" i="1" s="1"/>
  <c r="CG35" i="1"/>
  <c r="CC35" i="1" s="1"/>
  <c r="BZ35" i="1" s="1"/>
  <c r="BY35" i="1" s="1"/>
  <c r="CL35" i="1"/>
  <c r="CR35" i="1"/>
  <c r="CS35" i="1" s="1"/>
  <c r="CT35" i="1"/>
  <c r="CN35" i="1"/>
  <c r="DJ36" i="1"/>
  <c r="DG37" i="1"/>
  <c r="DN36" i="1"/>
  <c r="EL39" i="1"/>
  <c r="EI40" i="1"/>
  <c r="EP39" i="1"/>
  <c r="FX34" i="1"/>
  <c r="GD34" i="1"/>
  <c r="GE34" i="1" s="1"/>
  <c r="GB34" i="1"/>
  <c r="GC34" i="1" s="1"/>
  <c r="FZ34" i="1"/>
  <c r="GF34" i="1"/>
  <c r="DQ34" i="1"/>
  <c r="DS34" i="1"/>
  <c r="DL34" i="1"/>
  <c r="DH34" i="1" s="1"/>
  <c r="DE34" i="1" s="1"/>
  <c r="DD34" i="1" s="1"/>
  <c r="DU34" i="1"/>
  <c r="DV34" i="1" s="1"/>
  <c r="DW34" i="1"/>
  <c r="DX34" i="1" s="1"/>
  <c r="DY34" i="1"/>
  <c r="FW35" i="1"/>
  <c r="FY35" i="1"/>
  <c r="GA35" i="1"/>
  <c r="GG35" i="1" s="1"/>
  <c r="FS35" i="1" s="1"/>
  <c r="FO35" i="1" s="1"/>
  <c r="FL35" i="1" s="1"/>
  <c r="FK35" i="1" s="1"/>
  <c r="FV35" i="1"/>
  <c r="FT35" i="1"/>
  <c r="CJ36" i="1"/>
  <c r="CK36" i="1"/>
  <c r="CH36" i="1"/>
  <c r="CM36" i="1"/>
  <c r="CO36" i="1"/>
  <c r="CU36" i="1" s="1"/>
  <c r="FA37" i="1"/>
  <c r="EN37" i="1"/>
  <c r="EJ37" i="1" s="1"/>
  <c r="EG37" i="1" s="1"/>
  <c r="EF37" i="1" s="1"/>
  <c r="EW37" i="1"/>
  <c r="EX37" i="1" s="1"/>
  <c r="EU37" i="1"/>
  <c r="EY37" i="1"/>
  <c r="EZ37" i="1" s="1"/>
  <c r="ES37" i="1"/>
  <c r="FN37" i="1"/>
  <c r="FQ36" i="1"/>
  <c r="FU36" i="1"/>
  <c r="CB38" i="1"/>
  <c r="CE37" i="1"/>
  <c r="CI37" i="1"/>
  <c r="ET38" i="1"/>
  <c r="EO38" i="1"/>
  <c r="EV38" i="1"/>
  <c r="FB38" i="1" s="1"/>
  <c r="EQ38" i="1"/>
  <c r="ER38" i="1"/>
  <c r="DM35" i="1"/>
  <c r="DP35" i="1"/>
  <c r="DR35" i="1"/>
  <c r="DT35" i="1"/>
  <c r="DZ35" i="1" s="1"/>
  <c r="DO35" i="1"/>
  <c r="FQ279" i="1" l="1"/>
  <c r="FU279" i="1"/>
  <c r="FV278" i="1"/>
  <c r="FW278" i="1"/>
  <c r="FY278" i="1"/>
  <c r="FT278" i="1"/>
  <c r="GA278" i="1"/>
  <c r="GG278" i="1" s="1"/>
  <c r="FS278" i="1" s="1"/>
  <c r="FO278" i="1" s="1"/>
  <c r="FL278" i="1" s="1"/>
  <c r="FK278" i="1" s="1"/>
  <c r="DT277" i="1"/>
  <c r="DZ277" i="1" s="1"/>
  <c r="DO277" i="1"/>
  <c r="DR277" i="1"/>
  <c r="DM277" i="1"/>
  <c r="DP277" i="1"/>
  <c r="FQ157" i="1"/>
  <c r="FU157" i="1"/>
  <c r="FN158" i="1"/>
  <c r="FY156" i="1"/>
  <c r="FV156" i="1"/>
  <c r="FW156" i="1"/>
  <c r="FT156" i="1"/>
  <c r="GA156" i="1"/>
  <c r="GG156" i="1" s="1"/>
  <c r="FS156" i="1" s="1"/>
  <c r="FO156" i="1" s="1"/>
  <c r="FL156" i="1" s="1"/>
  <c r="FK156" i="1" s="1"/>
  <c r="DP156" i="1"/>
  <c r="DT156" i="1"/>
  <c r="DZ156" i="1" s="1"/>
  <c r="DM156" i="1"/>
  <c r="DO156" i="1"/>
  <c r="DR156" i="1"/>
  <c r="GD155" i="1"/>
  <c r="GE155" i="1" s="1"/>
  <c r="FX155" i="1"/>
  <c r="GF155" i="1"/>
  <c r="FZ155" i="1"/>
  <c r="GB155" i="1"/>
  <c r="GC155" i="1" s="1"/>
  <c r="DJ278" i="1"/>
  <c r="DN278" i="1"/>
  <c r="DG158" i="1"/>
  <c r="DN157" i="1"/>
  <c r="DJ157" i="1"/>
  <c r="DL155" i="1"/>
  <c r="DH155" i="1" s="1"/>
  <c r="DE155" i="1" s="1"/>
  <c r="DD155" i="1" s="1"/>
  <c r="DU155" i="1"/>
  <c r="DV155" i="1" s="1"/>
  <c r="DW155" i="1"/>
  <c r="DX155" i="1" s="1"/>
  <c r="DQ155" i="1"/>
  <c r="DY155" i="1"/>
  <c r="DS155" i="1"/>
  <c r="GB277" i="1"/>
  <c r="GC277" i="1" s="1"/>
  <c r="FX277" i="1"/>
  <c r="GF277" i="1"/>
  <c r="GD277" i="1"/>
  <c r="GE277" i="1" s="1"/>
  <c r="FZ277" i="1"/>
  <c r="DW276" i="1"/>
  <c r="DX276" i="1" s="1"/>
  <c r="DY276" i="1"/>
  <c r="DL276" i="1"/>
  <c r="DH276" i="1" s="1"/>
  <c r="DE276" i="1" s="1"/>
  <c r="DD276" i="1" s="1"/>
  <c r="DU276" i="1"/>
  <c r="DV276" i="1" s="1"/>
  <c r="DQ276" i="1"/>
  <c r="DS276" i="1"/>
  <c r="EP280" i="1"/>
  <c r="EI281" i="1"/>
  <c r="EL280" i="1"/>
  <c r="CP278" i="1"/>
  <c r="CQ278" i="1" s="1"/>
  <c r="CG278" i="1"/>
  <c r="CC278" i="1" s="1"/>
  <c r="BZ278" i="1" s="1"/>
  <c r="BY278" i="1" s="1"/>
  <c r="CR278" i="1"/>
  <c r="CS278" i="1" s="1"/>
  <c r="CN278" i="1"/>
  <c r="CL278" i="1"/>
  <c r="CT278" i="1"/>
  <c r="CO279" i="1"/>
  <c r="CU279" i="1" s="1"/>
  <c r="CM279" i="1"/>
  <c r="CK279" i="1"/>
  <c r="CJ279" i="1"/>
  <c r="CH279" i="1"/>
  <c r="ET279" i="1"/>
  <c r="ER279" i="1"/>
  <c r="EQ279" i="1"/>
  <c r="EV279" i="1"/>
  <c r="FB279" i="1" s="1"/>
  <c r="EO279" i="1"/>
  <c r="CI280" i="1"/>
  <c r="CB281" i="1"/>
  <c r="CE280" i="1"/>
  <c r="DG279" i="1"/>
  <c r="FN280" i="1"/>
  <c r="EN278" i="1"/>
  <c r="EJ278" i="1" s="1"/>
  <c r="EG278" i="1" s="1"/>
  <c r="EF278" i="1" s="1"/>
  <c r="EU278" i="1"/>
  <c r="EW278" i="1"/>
  <c r="EX278" i="1" s="1"/>
  <c r="ES278" i="1"/>
  <c r="FA278" i="1"/>
  <c r="EY278" i="1"/>
  <c r="EZ278" i="1" s="1"/>
  <c r="EW158" i="1"/>
  <c r="EX158" i="1" s="1"/>
  <c r="EY158" i="1"/>
  <c r="EZ158" i="1" s="1"/>
  <c r="EN158" i="1"/>
  <c r="EJ158" i="1" s="1"/>
  <c r="EG158" i="1" s="1"/>
  <c r="EF158" i="1" s="1"/>
  <c r="EU158" i="1"/>
  <c r="ES158" i="1"/>
  <c r="FA158" i="1"/>
  <c r="EP160" i="1"/>
  <c r="EI161" i="1"/>
  <c r="EL160" i="1"/>
  <c r="ET159" i="1"/>
  <c r="EO159" i="1"/>
  <c r="EV159" i="1"/>
  <c r="FB159" i="1" s="1"/>
  <c r="ER159" i="1"/>
  <c r="EQ159" i="1"/>
  <c r="CB162" i="1"/>
  <c r="CE161" i="1"/>
  <c r="CI161" i="1"/>
  <c r="CK160" i="1"/>
  <c r="CJ160" i="1"/>
  <c r="CO160" i="1"/>
  <c r="CU160" i="1" s="1"/>
  <c r="CM160" i="1"/>
  <c r="CH160" i="1"/>
  <c r="CN159" i="1"/>
  <c r="CR159" i="1"/>
  <c r="CS159" i="1" s="1"/>
  <c r="CG159" i="1"/>
  <c r="CC159" i="1" s="1"/>
  <c r="BZ159" i="1" s="1"/>
  <c r="BY159" i="1" s="1"/>
  <c r="CT159" i="1"/>
  <c r="CP159" i="1"/>
  <c r="CQ159" i="1" s="1"/>
  <c r="CL159" i="1"/>
  <c r="FX35" i="1"/>
  <c r="GB35" i="1"/>
  <c r="GC35" i="1" s="1"/>
  <c r="FZ35" i="1"/>
  <c r="GD35" i="1"/>
  <c r="GE35" i="1" s="1"/>
  <c r="GF35" i="1"/>
  <c r="EO39" i="1"/>
  <c r="EV39" i="1"/>
  <c r="FB39" i="1" s="1"/>
  <c r="EQ39" i="1"/>
  <c r="ER39" i="1"/>
  <c r="ET39" i="1"/>
  <c r="DQ35" i="1"/>
  <c r="DY35" i="1"/>
  <c r="DL35" i="1"/>
  <c r="DH35" i="1" s="1"/>
  <c r="DE35" i="1" s="1"/>
  <c r="DD35" i="1" s="1"/>
  <c r="DS35" i="1"/>
  <c r="DU35" i="1"/>
  <c r="DV35" i="1" s="1"/>
  <c r="DW35" i="1"/>
  <c r="DX35" i="1" s="1"/>
  <c r="CB39" i="1"/>
  <c r="CE38" i="1"/>
  <c r="CI38" i="1"/>
  <c r="EL40" i="1"/>
  <c r="EI41" i="1"/>
  <c r="EP40" i="1"/>
  <c r="FY36" i="1"/>
  <c r="FT36" i="1"/>
  <c r="FV36" i="1"/>
  <c r="FW36" i="1"/>
  <c r="GA36" i="1"/>
  <c r="GG36" i="1" s="1"/>
  <c r="FS36" i="1" s="1"/>
  <c r="FO36" i="1" s="1"/>
  <c r="FL36" i="1" s="1"/>
  <c r="FK36" i="1" s="1"/>
  <c r="FN38" i="1"/>
  <c r="FQ37" i="1"/>
  <c r="FU37" i="1"/>
  <c r="DJ37" i="1"/>
  <c r="DG38" i="1"/>
  <c r="DN37" i="1"/>
  <c r="CM37" i="1"/>
  <c r="CK37" i="1"/>
  <c r="CH37" i="1"/>
  <c r="CJ37" i="1"/>
  <c r="CO37" i="1"/>
  <c r="CU37" i="1" s="1"/>
  <c r="DO36" i="1"/>
  <c r="DR36" i="1"/>
  <c r="DT36" i="1"/>
  <c r="DZ36" i="1" s="1"/>
  <c r="DM36" i="1"/>
  <c r="DP36" i="1"/>
  <c r="FA38" i="1"/>
  <c r="EW38" i="1"/>
  <c r="EX38" i="1" s="1"/>
  <c r="EU38" i="1"/>
  <c r="EY38" i="1"/>
  <c r="EZ38" i="1" s="1"/>
  <c r="EN38" i="1"/>
  <c r="EJ38" i="1" s="1"/>
  <c r="EG38" i="1" s="1"/>
  <c r="EF38" i="1" s="1"/>
  <c r="ES38" i="1"/>
  <c r="CP36" i="1"/>
  <c r="CQ36" i="1" s="1"/>
  <c r="CR36" i="1"/>
  <c r="CS36" i="1" s="1"/>
  <c r="CG36" i="1"/>
  <c r="CC36" i="1" s="1"/>
  <c r="BZ36" i="1" s="1"/>
  <c r="BY36" i="1" s="1"/>
  <c r="CT36" i="1"/>
  <c r="CL36" i="1"/>
  <c r="CN36" i="1"/>
  <c r="DW156" i="1" l="1"/>
  <c r="DX156" i="1" s="1"/>
  <c r="DQ156" i="1"/>
  <c r="DS156" i="1"/>
  <c r="DL156" i="1"/>
  <c r="DH156" i="1" s="1"/>
  <c r="DE156" i="1" s="1"/>
  <c r="DD156" i="1" s="1"/>
  <c r="DU156" i="1"/>
  <c r="DV156" i="1" s="1"/>
  <c r="DY156" i="1"/>
  <c r="FQ158" i="1"/>
  <c r="FU158" i="1"/>
  <c r="FN159" i="1"/>
  <c r="DP278" i="1"/>
  <c r="DR278" i="1"/>
  <c r="DM278" i="1"/>
  <c r="DO278" i="1"/>
  <c r="DT278" i="1"/>
  <c r="DZ278" i="1" s="1"/>
  <c r="FT157" i="1"/>
  <c r="FV157" i="1"/>
  <c r="FW157" i="1"/>
  <c r="FY157" i="1"/>
  <c r="GA157" i="1"/>
  <c r="GG157" i="1" s="1"/>
  <c r="FS157" i="1" s="1"/>
  <c r="FO157" i="1" s="1"/>
  <c r="FL157" i="1" s="1"/>
  <c r="FK157" i="1" s="1"/>
  <c r="FX278" i="1"/>
  <c r="GB278" i="1"/>
  <c r="GC278" i="1" s="1"/>
  <c r="GF278" i="1"/>
  <c r="GD278" i="1"/>
  <c r="GE278" i="1" s="1"/>
  <c r="FZ278" i="1"/>
  <c r="FQ280" i="1"/>
  <c r="FU280" i="1"/>
  <c r="FZ156" i="1"/>
  <c r="FX156" i="1"/>
  <c r="GB156" i="1"/>
  <c r="GC156" i="1" s="1"/>
  <c r="GF156" i="1"/>
  <c r="GD156" i="1"/>
  <c r="GE156" i="1" s="1"/>
  <c r="DS277" i="1"/>
  <c r="DL277" i="1"/>
  <c r="DH277" i="1" s="1"/>
  <c r="DE277" i="1" s="1"/>
  <c r="DD277" i="1" s="1"/>
  <c r="DU277" i="1"/>
  <c r="DV277" i="1" s="1"/>
  <c r="DW277" i="1"/>
  <c r="DX277" i="1" s="1"/>
  <c r="DY277" i="1"/>
  <c r="DQ277" i="1"/>
  <c r="DJ279" i="1"/>
  <c r="DN279" i="1"/>
  <c r="DM157" i="1"/>
  <c r="DT157" i="1"/>
  <c r="DZ157" i="1" s="1"/>
  <c r="DO157" i="1"/>
  <c r="DP157" i="1"/>
  <c r="DR157" i="1"/>
  <c r="FW279" i="1"/>
  <c r="FV279" i="1"/>
  <c r="FY279" i="1"/>
  <c r="FT279" i="1"/>
  <c r="GA279" i="1"/>
  <c r="GG279" i="1" s="1"/>
  <c r="FS279" i="1" s="1"/>
  <c r="FO279" i="1" s="1"/>
  <c r="FL279" i="1" s="1"/>
  <c r="FK279" i="1" s="1"/>
  <c r="DG159" i="1"/>
  <c r="DJ158" i="1"/>
  <c r="DN158" i="1"/>
  <c r="EP281" i="1"/>
  <c r="EI282" i="1"/>
  <c r="EL281" i="1"/>
  <c r="CB282" i="1"/>
  <c r="CI281" i="1"/>
  <c r="CE281" i="1"/>
  <c r="EV280" i="1"/>
  <c r="FB280" i="1" s="1"/>
  <c r="ET280" i="1"/>
  <c r="ER280" i="1"/>
  <c r="EQ280" i="1"/>
  <c r="EO280" i="1"/>
  <c r="FN281" i="1"/>
  <c r="CK280" i="1"/>
  <c r="CH280" i="1"/>
  <c r="CO280" i="1"/>
  <c r="CU280" i="1" s="1"/>
  <c r="CM280" i="1"/>
  <c r="CJ280" i="1"/>
  <c r="EY279" i="1"/>
  <c r="EZ279" i="1" s="1"/>
  <c r="EN279" i="1"/>
  <c r="EJ279" i="1" s="1"/>
  <c r="EG279" i="1" s="1"/>
  <c r="EF279" i="1" s="1"/>
  <c r="ES279" i="1"/>
  <c r="FA279" i="1"/>
  <c r="EW279" i="1"/>
  <c r="EX279" i="1" s="1"/>
  <c r="EU279" i="1"/>
  <c r="DG280" i="1"/>
  <c r="CG279" i="1"/>
  <c r="CC279" i="1" s="1"/>
  <c r="BZ279" i="1" s="1"/>
  <c r="BY279" i="1" s="1"/>
  <c r="CT279" i="1"/>
  <c r="CL279" i="1"/>
  <c r="CN279" i="1"/>
  <c r="CR279" i="1"/>
  <c r="CS279" i="1" s="1"/>
  <c r="CP279" i="1"/>
  <c r="CQ279" i="1" s="1"/>
  <c r="EL161" i="1"/>
  <c r="EP161" i="1"/>
  <c r="EI162" i="1"/>
  <c r="CI162" i="1"/>
  <c r="CB163" i="1"/>
  <c r="CE162" i="1"/>
  <c r="EQ160" i="1"/>
  <c r="EO160" i="1"/>
  <c r="EV160" i="1"/>
  <c r="FB160" i="1" s="1"/>
  <c r="ET160" i="1"/>
  <c r="ER160" i="1"/>
  <c r="CT160" i="1"/>
  <c r="CL160" i="1"/>
  <c r="CR160" i="1"/>
  <c r="CS160" i="1" s="1"/>
  <c r="CG160" i="1"/>
  <c r="CC160" i="1" s="1"/>
  <c r="BZ160" i="1" s="1"/>
  <c r="BY160" i="1" s="1"/>
  <c r="CN160" i="1"/>
  <c r="CP160" i="1"/>
  <c r="CQ160" i="1" s="1"/>
  <c r="EU159" i="1"/>
  <c r="FA159" i="1"/>
  <c r="ES159" i="1"/>
  <c r="EW159" i="1"/>
  <c r="EX159" i="1" s="1"/>
  <c r="EY159" i="1"/>
  <c r="EZ159" i="1" s="1"/>
  <c r="EN159" i="1"/>
  <c r="EJ159" i="1" s="1"/>
  <c r="EG159" i="1" s="1"/>
  <c r="EF159" i="1" s="1"/>
  <c r="CH161" i="1"/>
  <c r="CO161" i="1"/>
  <c r="CU161" i="1" s="1"/>
  <c r="CM161" i="1"/>
  <c r="CK161" i="1"/>
  <c r="CJ161" i="1"/>
  <c r="CM38" i="1"/>
  <c r="CK38" i="1"/>
  <c r="CO38" i="1"/>
  <c r="CU38" i="1" s="1"/>
  <c r="CH38" i="1"/>
  <c r="CJ38" i="1"/>
  <c r="DS36" i="1"/>
  <c r="DU36" i="1"/>
  <c r="DV36" i="1" s="1"/>
  <c r="DW36" i="1"/>
  <c r="DX36" i="1" s="1"/>
  <c r="DQ36" i="1"/>
  <c r="DY36" i="1"/>
  <c r="DL36" i="1"/>
  <c r="DH36" i="1" s="1"/>
  <c r="DE36" i="1" s="1"/>
  <c r="DD36" i="1" s="1"/>
  <c r="CB40" i="1"/>
  <c r="CE39" i="1"/>
  <c r="CI39" i="1"/>
  <c r="DJ38" i="1"/>
  <c r="DG39" i="1"/>
  <c r="DN38" i="1"/>
  <c r="FX36" i="1"/>
  <c r="GF36" i="1"/>
  <c r="FZ36" i="1"/>
  <c r="GB36" i="1"/>
  <c r="GC36" i="1" s="1"/>
  <c r="GD36" i="1"/>
  <c r="GE36" i="1" s="1"/>
  <c r="DP37" i="1"/>
  <c r="DT37" i="1"/>
  <c r="DZ37" i="1" s="1"/>
  <c r="DM37" i="1"/>
  <c r="DO37" i="1"/>
  <c r="DR37" i="1"/>
  <c r="EV40" i="1"/>
  <c r="FB40" i="1" s="1"/>
  <c r="EQ40" i="1"/>
  <c r="EO40" i="1"/>
  <c r="ER40" i="1"/>
  <c r="ET40" i="1"/>
  <c r="EW39" i="1"/>
  <c r="EX39" i="1" s="1"/>
  <c r="ES39" i="1"/>
  <c r="EU39" i="1"/>
  <c r="FA39" i="1"/>
  <c r="EY39" i="1"/>
  <c r="EZ39" i="1" s="1"/>
  <c r="EN39" i="1"/>
  <c r="EJ39" i="1" s="1"/>
  <c r="EG39" i="1" s="1"/>
  <c r="EF39" i="1" s="1"/>
  <c r="GA37" i="1"/>
  <c r="GG37" i="1" s="1"/>
  <c r="FS37" i="1" s="1"/>
  <c r="FO37" i="1" s="1"/>
  <c r="FL37" i="1" s="1"/>
  <c r="FK37" i="1" s="1"/>
  <c r="FT37" i="1"/>
  <c r="FW37" i="1"/>
  <c r="FV37" i="1"/>
  <c r="FY37" i="1"/>
  <c r="CG37" i="1"/>
  <c r="CC37" i="1" s="1"/>
  <c r="BZ37" i="1" s="1"/>
  <c r="BY37" i="1" s="1"/>
  <c r="CN37" i="1"/>
  <c r="CT37" i="1"/>
  <c r="CP37" i="1"/>
  <c r="CQ37" i="1" s="1"/>
  <c r="CR37" i="1"/>
  <c r="CS37" i="1" s="1"/>
  <c r="CL37" i="1"/>
  <c r="EI42" i="1"/>
  <c r="EL41" i="1"/>
  <c r="EP41" i="1"/>
  <c r="FN39" i="1"/>
  <c r="FQ38" i="1"/>
  <c r="FU38" i="1"/>
  <c r="GF279" i="1" l="1"/>
  <c r="GD279" i="1"/>
  <c r="GE279" i="1" s="1"/>
  <c r="FZ279" i="1"/>
  <c r="GB279" i="1"/>
  <c r="GC279" i="1" s="1"/>
  <c r="FX279" i="1"/>
  <c r="DS157" i="1"/>
  <c r="DY157" i="1"/>
  <c r="DL157" i="1"/>
  <c r="DH157" i="1" s="1"/>
  <c r="DE157" i="1" s="1"/>
  <c r="DD157" i="1" s="1"/>
  <c r="DU157" i="1"/>
  <c r="DV157" i="1" s="1"/>
  <c r="DW157" i="1"/>
  <c r="DX157" i="1" s="1"/>
  <c r="DQ157" i="1"/>
  <c r="FY158" i="1"/>
  <c r="FV158" i="1"/>
  <c r="FW158" i="1"/>
  <c r="FT158" i="1"/>
  <c r="GA158" i="1"/>
  <c r="GG158" i="1" s="1"/>
  <c r="FS158" i="1" s="1"/>
  <c r="FO158" i="1" s="1"/>
  <c r="FL158" i="1" s="1"/>
  <c r="FK158" i="1" s="1"/>
  <c r="DR279" i="1"/>
  <c r="DM279" i="1"/>
  <c r="DP279" i="1"/>
  <c r="DO279" i="1"/>
  <c r="DT279" i="1"/>
  <c r="DZ279" i="1" s="1"/>
  <c r="FX157" i="1"/>
  <c r="GF157" i="1"/>
  <c r="GB157" i="1"/>
  <c r="GC157" i="1" s="1"/>
  <c r="GD157" i="1"/>
  <c r="GE157" i="1" s="1"/>
  <c r="FZ157" i="1"/>
  <c r="FQ281" i="1"/>
  <c r="FU281" i="1"/>
  <c r="DP158" i="1"/>
  <c r="DR158" i="1"/>
  <c r="DM158" i="1"/>
  <c r="DO158" i="1"/>
  <c r="DT158" i="1"/>
  <c r="DZ158" i="1" s="1"/>
  <c r="DS278" i="1"/>
  <c r="DL278" i="1"/>
  <c r="DH278" i="1" s="1"/>
  <c r="DE278" i="1" s="1"/>
  <c r="DD278" i="1" s="1"/>
  <c r="DU278" i="1"/>
  <c r="DV278" i="1" s="1"/>
  <c r="DW278" i="1"/>
  <c r="DX278" i="1" s="1"/>
  <c r="DY278" i="1"/>
  <c r="DQ278" i="1"/>
  <c r="DJ280" i="1"/>
  <c r="DN280" i="1"/>
  <c r="FW280" i="1"/>
  <c r="FY280" i="1"/>
  <c r="FV280" i="1"/>
  <c r="FT280" i="1"/>
  <c r="GA280" i="1"/>
  <c r="GG280" i="1" s="1"/>
  <c r="FS280" i="1" s="1"/>
  <c r="FO280" i="1" s="1"/>
  <c r="FL280" i="1" s="1"/>
  <c r="FK280" i="1" s="1"/>
  <c r="DG160" i="1"/>
  <c r="DN159" i="1"/>
  <c r="DJ159" i="1"/>
  <c r="FQ159" i="1"/>
  <c r="FU159" i="1"/>
  <c r="FN160" i="1"/>
  <c r="CO281" i="1"/>
  <c r="CU281" i="1" s="1"/>
  <c r="CM281" i="1"/>
  <c r="CK281" i="1"/>
  <c r="CJ281" i="1"/>
  <c r="CH281" i="1"/>
  <c r="EP282" i="1"/>
  <c r="EI283" i="1"/>
  <c r="EL282" i="1"/>
  <c r="FN282" i="1"/>
  <c r="CI282" i="1"/>
  <c r="CB283" i="1"/>
  <c r="CE282" i="1"/>
  <c r="ET281" i="1"/>
  <c r="ER281" i="1"/>
  <c r="EQ281" i="1"/>
  <c r="EV281" i="1"/>
  <c r="FB281" i="1" s="1"/>
  <c r="EO281" i="1"/>
  <c r="CP280" i="1"/>
  <c r="CQ280" i="1" s="1"/>
  <c r="CG280" i="1"/>
  <c r="CC280" i="1" s="1"/>
  <c r="BZ280" i="1" s="1"/>
  <c r="BY280" i="1" s="1"/>
  <c r="CT280" i="1"/>
  <c r="CR280" i="1"/>
  <c r="CS280" i="1" s="1"/>
  <c r="CN280" i="1"/>
  <c r="CL280" i="1"/>
  <c r="EN280" i="1"/>
  <c r="EJ280" i="1" s="1"/>
  <c r="EG280" i="1" s="1"/>
  <c r="EF280" i="1" s="1"/>
  <c r="EU280" i="1"/>
  <c r="FA280" i="1"/>
  <c r="EY280" i="1"/>
  <c r="EZ280" i="1" s="1"/>
  <c r="EW280" i="1"/>
  <c r="EX280" i="1" s="1"/>
  <c r="ES280" i="1"/>
  <c r="DG281" i="1"/>
  <c r="EY160" i="1"/>
  <c r="EZ160" i="1" s="1"/>
  <c r="EW160" i="1"/>
  <c r="EX160" i="1" s="1"/>
  <c r="EN160" i="1"/>
  <c r="EJ160" i="1" s="1"/>
  <c r="EG160" i="1" s="1"/>
  <c r="EF160" i="1" s="1"/>
  <c r="FA160" i="1"/>
  <c r="ES160" i="1"/>
  <c r="EU160" i="1"/>
  <c r="EP162" i="1"/>
  <c r="EI163" i="1"/>
  <c r="EL162" i="1"/>
  <c r="CB164" i="1"/>
  <c r="CE163" i="1"/>
  <c r="CI163" i="1"/>
  <c r="ET161" i="1"/>
  <c r="ER161" i="1"/>
  <c r="EO161" i="1"/>
  <c r="EQ161" i="1"/>
  <c r="EV161" i="1"/>
  <c r="FB161" i="1" s="1"/>
  <c r="CK162" i="1"/>
  <c r="CJ162" i="1"/>
  <c r="CO162" i="1"/>
  <c r="CU162" i="1" s="1"/>
  <c r="CM162" i="1"/>
  <c r="CH162" i="1"/>
  <c r="CP161" i="1"/>
  <c r="CQ161" i="1" s="1"/>
  <c r="CG161" i="1"/>
  <c r="CC161" i="1" s="1"/>
  <c r="BZ161" i="1" s="1"/>
  <c r="BY161" i="1" s="1"/>
  <c r="CN161" i="1"/>
  <c r="CR161" i="1"/>
  <c r="CS161" i="1" s="1"/>
  <c r="CT161" i="1"/>
  <c r="CL161" i="1"/>
  <c r="CE40" i="1"/>
  <c r="CB41" i="1"/>
  <c r="CI40" i="1"/>
  <c r="EI43" i="1"/>
  <c r="EL42" i="1"/>
  <c r="EP42" i="1"/>
  <c r="DW37" i="1"/>
  <c r="DX37" i="1" s="1"/>
  <c r="DY37" i="1"/>
  <c r="DL37" i="1"/>
  <c r="DH37" i="1" s="1"/>
  <c r="DE37" i="1" s="1"/>
  <c r="DD37" i="1" s="1"/>
  <c r="DS37" i="1"/>
  <c r="DU37" i="1"/>
  <c r="DV37" i="1" s="1"/>
  <c r="DQ37" i="1"/>
  <c r="DP38" i="1"/>
  <c r="DM38" i="1"/>
  <c r="DO38" i="1"/>
  <c r="DT38" i="1"/>
  <c r="DZ38" i="1" s="1"/>
  <c r="DR38" i="1"/>
  <c r="GF37" i="1"/>
  <c r="GD37" i="1"/>
  <c r="GE37" i="1" s="1"/>
  <c r="FZ37" i="1"/>
  <c r="GB37" i="1"/>
  <c r="GC37" i="1" s="1"/>
  <c r="FX37" i="1"/>
  <c r="DJ39" i="1"/>
  <c r="DG40" i="1"/>
  <c r="DN39" i="1"/>
  <c r="FN40" i="1"/>
  <c r="FQ39" i="1"/>
  <c r="FU39" i="1"/>
  <c r="ET41" i="1"/>
  <c r="EO41" i="1"/>
  <c r="EV41" i="1"/>
  <c r="FB41" i="1" s="1"/>
  <c r="EQ41" i="1"/>
  <c r="ER41" i="1"/>
  <c r="CT38" i="1"/>
  <c r="CP38" i="1"/>
  <c r="CQ38" i="1" s="1"/>
  <c r="CL38" i="1"/>
  <c r="CR38" i="1"/>
  <c r="CS38" i="1" s="1"/>
  <c r="CG38" i="1"/>
  <c r="CC38" i="1" s="1"/>
  <c r="BZ38" i="1" s="1"/>
  <c r="BY38" i="1" s="1"/>
  <c r="CN38" i="1"/>
  <c r="FY38" i="1"/>
  <c r="FV38" i="1"/>
  <c r="FT38" i="1"/>
  <c r="FW38" i="1"/>
  <c r="GA38" i="1"/>
  <c r="GG38" i="1" s="1"/>
  <c r="FS38" i="1" s="1"/>
  <c r="FO38" i="1" s="1"/>
  <c r="FL38" i="1" s="1"/>
  <c r="FK38" i="1" s="1"/>
  <c r="EU40" i="1"/>
  <c r="FA40" i="1"/>
  <c r="EW40" i="1"/>
  <c r="EX40" i="1" s="1"/>
  <c r="EY40" i="1"/>
  <c r="EZ40" i="1" s="1"/>
  <c r="EN40" i="1"/>
  <c r="EJ40" i="1" s="1"/>
  <c r="EG40" i="1" s="1"/>
  <c r="EF40" i="1" s="1"/>
  <c r="ES40" i="1"/>
  <c r="CJ39" i="1"/>
  <c r="CK39" i="1"/>
  <c r="CM39" i="1"/>
  <c r="CO39" i="1"/>
  <c r="CU39" i="1" s="1"/>
  <c r="CH39" i="1"/>
  <c r="DP159" i="1" l="1"/>
  <c r="DT159" i="1"/>
  <c r="DZ159" i="1" s="1"/>
  <c r="DM159" i="1"/>
  <c r="DR159" i="1"/>
  <c r="DO159" i="1"/>
  <c r="DG161" i="1"/>
  <c r="DN160" i="1"/>
  <c r="DJ160" i="1"/>
  <c r="DL158" i="1"/>
  <c r="DH158" i="1" s="1"/>
  <c r="DE158" i="1" s="1"/>
  <c r="DD158" i="1" s="1"/>
  <c r="DU158" i="1"/>
  <c r="DV158" i="1" s="1"/>
  <c r="DW158" i="1"/>
  <c r="DX158" i="1" s="1"/>
  <c r="DQ158" i="1"/>
  <c r="DY158" i="1"/>
  <c r="DS158" i="1"/>
  <c r="GD158" i="1"/>
  <c r="GE158" i="1" s="1"/>
  <c r="FX158" i="1"/>
  <c r="GF158" i="1"/>
  <c r="FZ158" i="1"/>
  <c r="GB158" i="1"/>
  <c r="GC158" i="1" s="1"/>
  <c r="FZ280" i="1"/>
  <c r="GB280" i="1"/>
  <c r="GC280" i="1" s="1"/>
  <c r="GF280" i="1"/>
  <c r="FX280" i="1"/>
  <c r="GD280" i="1"/>
  <c r="GE280" i="1" s="1"/>
  <c r="FQ160" i="1"/>
  <c r="FU160" i="1"/>
  <c r="FN161" i="1"/>
  <c r="FT281" i="1"/>
  <c r="FV281" i="1"/>
  <c r="FW281" i="1"/>
  <c r="FY281" i="1"/>
  <c r="GA281" i="1"/>
  <c r="GG281" i="1" s="1"/>
  <c r="FS281" i="1" s="1"/>
  <c r="FO281" i="1" s="1"/>
  <c r="FL281" i="1" s="1"/>
  <c r="FK281" i="1" s="1"/>
  <c r="FQ282" i="1"/>
  <c r="FU282" i="1"/>
  <c r="FT159" i="1"/>
  <c r="FV159" i="1"/>
  <c r="FW159" i="1"/>
  <c r="FY159" i="1"/>
  <c r="GA159" i="1"/>
  <c r="GG159" i="1" s="1"/>
  <c r="FS159" i="1" s="1"/>
  <c r="FO159" i="1" s="1"/>
  <c r="FL159" i="1" s="1"/>
  <c r="FK159" i="1" s="1"/>
  <c r="DJ281" i="1"/>
  <c r="DN281" i="1"/>
  <c r="DY279" i="1"/>
  <c r="DW279" i="1"/>
  <c r="DX279" i="1" s="1"/>
  <c r="DU279" i="1"/>
  <c r="DV279" i="1" s="1"/>
  <c r="DQ279" i="1"/>
  <c r="DL279" i="1"/>
  <c r="DH279" i="1" s="1"/>
  <c r="DE279" i="1" s="1"/>
  <c r="DD279" i="1" s="1"/>
  <c r="DS279" i="1"/>
  <c r="DO280" i="1"/>
  <c r="DT280" i="1"/>
  <c r="DZ280" i="1" s="1"/>
  <c r="DP280" i="1"/>
  <c r="DR280" i="1"/>
  <c r="DM280" i="1"/>
  <c r="EP283" i="1"/>
  <c r="EI284" i="1"/>
  <c r="EL283" i="1"/>
  <c r="DG282" i="1"/>
  <c r="CK282" i="1"/>
  <c r="CH282" i="1"/>
  <c r="CO282" i="1"/>
  <c r="CU282" i="1" s="1"/>
  <c r="CM282" i="1"/>
  <c r="CJ282" i="1"/>
  <c r="EV282" i="1"/>
  <c r="FB282" i="1" s="1"/>
  <c r="ET282" i="1"/>
  <c r="ER282" i="1"/>
  <c r="EQ282" i="1"/>
  <c r="EO282" i="1"/>
  <c r="CB284" i="1"/>
  <c r="CI283" i="1"/>
  <c r="CE283" i="1"/>
  <c r="EY281" i="1"/>
  <c r="EZ281" i="1" s="1"/>
  <c r="EN281" i="1"/>
  <c r="EJ281" i="1" s="1"/>
  <c r="EG281" i="1" s="1"/>
  <c r="EF281" i="1" s="1"/>
  <c r="FA281" i="1"/>
  <c r="EW281" i="1"/>
  <c r="EX281" i="1" s="1"/>
  <c r="EU281" i="1"/>
  <c r="ES281" i="1"/>
  <c r="CG281" i="1"/>
  <c r="CC281" i="1" s="1"/>
  <c r="BZ281" i="1" s="1"/>
  <c r="BY281" i="1" s="1"/>
  <c r="CT281" i="1"/>
  <c r="CL281" i="1"/>
  <c r="CR281" i="1"/>
  <c r="CS281" i="1" s="1"/>
  <c r="CP281" i="1"/>
  <c r="CQ281" i="1" s="1"/>
  <c r="CN281" i="1"/>
  <c r="FN283" i="1"/>
  <c r="CT162" i="1"/>
  <c r="CL162" i="1"/>
  <c r="CR162" i="1"/>
  <c r="CS162" i="1" s="1"/>
  <c r="CG162" i="1"/>
  <c r="CC162" i="1" s="1"/>
  <c r="BZ162" i="1" s="1"/>
  <c r="BY162" i="1" s="1"/>
  <c r="CN162" i="1"/>
  <c r="CP162" i="1"/>
  <c r="CQ162" i="1" s="1"/>
  <c r="CI164" i="1"/>
  <c r="CB165" i="1"/>
  <c r="CE164" i="1"/>
  <c r="EL163" i="1"/>
  <c r="EP163" i="1"/>
  <c r="EI164" i="1"/>
  <c r="EU161" i="1"/>
  <c r="FA161" i="1"/>
  <c r="ES161" i="1"/>
  <c r="EW161" i="1"/>
  <c r="EX161" i="1" s="1"/>
  <c r="EN161" i="1"/>
  <c r="EJ161" i="1" s="1"/>
  <c r="EG161" i="1" s="1"/>
  <c r="EF161" i="1" s="1"/>
  <c r="EY161" i="1"/>
  <c r="EZ161" i="1" s="1"/>
  <c r="CH163" i="1"/>
  <c r="CO163" i="1"/>
  <c r="CU163" i="1" s="1"/>
  <c r="CM163" i="1"/>
  <c r="CK163" i="1"/>
  <c r="CJ163" i="1"/>
  <c r="EQ162" i="1"/>
  <c r="EO162" i="1"/>
  <c r="EV162" i="1"/>
  <c r="FB162" i="1" s="1"/>
  <c r="ET162" i="1"/>
  <c r="ER162" i="1"/>
  <c r="CK40" i="1"/>
  <c r="CM40" i="1"/>
  <c r="CO40" i="1"/>
  <c r="CU40" i="1" s="1"/>
  <c r="CH40" i="1"/>
  <c r="CJ40" i="1"/>
  <c r="GB38" i="1"/>
  <c r="GC38" i="1" s="1"/>
  <c r="FX38" i="1"/>
  <c r="GD38" i="1"/>
  <c r="GE38" i="1" s="1"/>
  <c r="FZ38" i="1"/>
  <c r="GF38" i="1"/>
  <c r="CB42" i="1"/>
  <c r="CE41" i="1"/>
  <c r="CI41" i="1"/>
  <c r="DT39" i="1"/>
  <c r="DZ39" i="1" s="1"/>
  <c r="DO39" i="1"/>
  <c r="DP39" i="1"/>
  <c r="DR39" i="1"/>
  <c r="DM39" i="1"/>
  <c r="DG41" i="1"/>
  <c r="DJ40" i="1"/>
  <c r="DN40" i="1"/>
  <c r="FY39" i="1"/>
  <c r="FT39" i="1"/>
  <c r="GA39" i="1"/>
  <c r="GG39" i="1" s="1"/>
  <c r="FS39" i="1" s="1"/>
  <c r="FO39" i="1" s="1"/>
  <c r="FL39" i="1" s="1"/>
  <c r="FK39" i="1" s="1"/>
  <c r="FV39" i="1"/>
  <c r="FW39" i="1"/>
  <c r="EL43" i="1"/>
  <c r="EI44" i="1"/>
  <c r="EP43" i="1"/>
  <c r="FN41" i="1"/>
  <c r="FQ40" i="1"/>
  <c r="FU40" i="1"/>
  <c r="CL39" i="1"/>
  <c r="CN39" i="1"/>
  <c r="CG39" i="1"/>
  <c r="CC39" i="1" s="1"/>
  <c r="BZ39" i="1" s="1"/>
  <c r="BY39" i="1" s="1"/>
  <c r="CT39" i="1"/>
  <c r="CP39" i="1"/>
  <c r="CQ39" i="1" s="1"/>
  <c r="CR39" i="1"/>
  <c r="CS39" i="1" s="1"/>
  <c r="FA41" i="1"/>
  <c r="ES41" i="1"/>
  <c r="EN41" i="1"/>
  <c r="EJ41" i="1" s="1"/>
  <c r="EG41" i="1" s="1"/>
  <c r="EF41" i="1" s="1"/>
  <c r="EW41" i="1"/>
  <c r="EX41" i="1" s="1"/>
  <c r="EU41" i="1"/>
  <c r="EY41" i="1"/>
  <c r="EZ41" i="1" s="1"/>
  <c r="DU38" i="1"/>
  <c r="DV38" i="1" s="1"/>
  <c r="DW38" i="1"/>
  <c r="DX38" i="1" s="1"/>
  <c r="DQ38" i="1"/>
  <c r="DL38" i="1"/>
  <c r="DH38" i="1" s="1"/>
  <c r="DE38" i="1" s="1"/>
  <c r="DD38" i="1" s="1"/>
  <c r="DS38" i="1"/>
  <c r="DY38" i="1"/>
  <c r="EV42" i="1"/>
  <c r="FB42" i="1" s="1"/>
  <c r="EQ42" i="1"/>
  <c r="ET42" i="1"/>
  <c r="EO42" i="1"/>
  <c r="ER42" i="1"/>
  <c r="FQ283" i="1" l="1"/>
  <c r="FU283" i="1"/>
  <c r="DR160" i="1"/>
  <c r="DT160" i="1"/>
  <c r="DZ160" i="1" s="1"/>
  <c r="DM160" i="1"/>
  <c r="DO160" i="1"/>
  <c r="DP160" i="1"/>
  <c r="DJ282" i="1"/>
  <c r="DN282" i="1"/>
  <c r="DG162" i="1"/>
  <c r="DN161" i="1"/>
  <c r="DJ161" i="1"/>
  <c r="DQ280" i="1"/>
  <c r="DY280" i="1"/>
  <c r="DS280" i="1"/>
  <c r="DU280" i="1"/>
  <c r="DV280" i="1" s="1"/>
  <c r="DW280" i="1"/>
  <c r="DX280" i="1" s="1"/>
  <c r="DL280" i="1"/>
  <c r="DH280" i="1" s="1"/>
  <c r="DE280" i="1" s="1"/>
  <c r="DD280" i="1" s="1"/>
  <c r="FX281" i="1"/>
  <c r="GB281" i="1"/>
  <c r="GC281" i="1" s="1"/>
  <c r="GF281" i="1"/>
  <c r="GD281" i="1"/>
  <c r="GE281" i="1" s="1"/>
  <c r="FZ281" i="1"/>
  <c r="FX159" i="1"/>
  <c r="GF159" i="1"/>
  <c r="FZ159" i="1"/>
  <c r="GD159" i="1"/>
  <c r="GE159" i="1" s="1"/>
  <c r="GB159" i="1"/>
  <c r="GC159" i="1" s="1"/>
  <c r="FQ161" i="1"/>
  <c r="FU161" i="1"/>
  <c r="FN162" i="1"/>
  <c r="DU159" i="1"/>
  <c r="DV159" i="1" s="1"/>
  <c r="DL159" i="1"/>
  <c r="DH159" i="1" s="1"/>
  <c r="DE159" i="1" s="1"/>
  <c r="DD159" i="1" s="1"/>
  <c r="DW159" i="1"/>
  <c r="DX159" i="1" s="1"/>
  <c r="DQ159" i="1"/>
  <c r="DY159" i="1"/>
  <c r="DS159" i="1"/>
  <c r="FT282" i="1"/>
  <c r="FW282" i="1"/>
  <c r="FY282" i="1"/>
  <c r="FV282" i="1"/>
  <c r="GA282" i="1"/>
  <c r="GG282" i="1" s="1"/>
  <c r="FS282" i="1" s="1"/>
  <c r="FO282" i="1" s="1"/>
  <c r="FL282" i="1" s="1"/>
  <c r="FK282" i="1" s="1"/>
  <c r="FW160" i="1"/>
  <c r="FY160" i="1"/>
  <c r="FT160" i="1"/>
  <c r="FV160" i="1"/>
  <c r="GA160" i="1"/>
  <c r="GG160" i="1" s="1"/>
  <c r="FS160" i="1" s="1"/>
  <c r="FO160" i="1" s="1"/>
  <c r="FL160" i="1" s="1"/>
  <c r="FK160" i="1" s="1"/>
  <c r="DM281" i="1"/>
  <c r="DO281" i="1"/>
  <c r="DP281" i="1"/>
  <c r="DR281" i="1"/>
  <c r="DT281" i="1"/>
  <c r="DZ281" i="1" s="1"/>
  <c r="FN284" i="1"/>
  <c r="CO283" i="1"/>
  <c r="CU283" i="1" s="1"/>
  <c r="CM283" i="1"/>
  <c r="CK283" i="1"/>
  <c r="CJ283" i="1"/>
  <c r="CH283" i="1"/>
  <c r="EP284" i="1"/>
  <c r="EI285" i="1"/>
  <c r="EL284" i="1"/>
  <c r="CI284" i="1"/>
  <c r="CB285" i="1"/>
  <c r="CE284" i="1"/>
  <c r="ET283" i="1"/>
  <c r="ER283" i="1"/>
  <c r="EQ283" i="1"/>
  <c r="EV283" i="1"/>
  <c r="FB283" i="1" s="1"/>
  <c r="EO283" i="1"/>
  <c r="CP282" i="1"/>
  <c r="CQ282" i="1" s="1"/>
  <c r="CG282" i="1"/>
  <c r="CC282" i="1" s="1"/>
  <c r="BZ282" i="1" s="1"/>
  <c r="BY282" i="1" s="1"/>
  <c r="CR282" i="1"/>
  <c r="CS282" i="1" s="1"/>
  <c r="CN282" i="1"/>
  <c r="CL282" i="1"/>
  <c r="CT282" i="1"/>
  <c r="EN282" i="1"/>
  <c r="EJ282" i="1" s="1"/>
  <c r="EG282" i="1" s="1"/>
  <c r="EF282" i="1" s="1"/>
  <c r="EU282" i="1"/>
  <c r="EW282" i="1"/>
  <c r="EX282" i="1" s="1"/>
  <c r="ES282" i="1"/>
  <c r="FA282" i="1"/>
  <c r="EY282" i="1"/>
  <c r="EZ282" i="1" s="1"/>
  <c r="DG283" i="1"/>
  <c r="EP164" i="1"/>
  <c r="EI165" i="1"/>
  <c r="EL164" i="1"/>
  <c r="EY162" i="1"/>
  <c r="EZ162" i="1" s="1"/>
  <c r="EW162" i="1"/>
  <c r="EX162" i="1" s="1"/>
  <c r="EN162" i="1"/>
  <c r="EJ162" i="1" s="1"/>
  <c r="EG162" i="1" s="1"/>
  <c r="EF162" i="1" s="1"/>
  <c r="FA162" i="1"/>
  <c r="ES162" i="1"/>
  <c r="EU162" i="1"/>
  <c r="CP163" i="1"/>
  <c r="CQ163" i="1" s="1"/>
  <c r="CG163" i="1"/>
  <c r="CC163" i="1" s="1"/>
  <c r="BZ163" i="1" s="1"/>
  <c r="BY163" i="1" s="1"/>
  <c r="CN163" i="1"/>
  <c r="CR163" i="1"/>
  <c r="CS163" i="1" s="1"/>
  <c r="CT163" i="1"/>
  <c r="CL163" i="1"/>
  <c r="ET163" i="1"/>
  <c r="ER163" i="1"/>
  <c r="EO163" i="1"/>
  <c r="EQ163" i="1"/>
  <c r="EV163" i="1"/>
  <c r="FB163" i="1" s="1"/>
  <c r="CB166" i="1"/>
  <c r="CE165" i="1"/>
  <c r="CI165" i="1"/>
  <c r="CK164" i="1"/>
  <c r="CJ164" i="1"/>
  <c r="CO164" i="1"/>
  <c r="CU164" i="1" s="1"/>
  <c r="CM164" i="1"/>
  <c r="CH164" i="1"/>
  <c r="EQ43" i="1"/>
  <c r="ER43" i="1"/>
  <c r="ET43" i="1"/>
  <c r="EO43" i="1"/>
  <c r="EV43" i="1"/>
  <c r="FB43" i="1" s="1"/>
  <c r="CM41" i="1"/>
  <c r="CO41" i="1"/>
  <c r="CU41" i="1" s="1"/>
  <c r="CH41" i="1"/>
  <c r="CK41" i="1"/>
  <c r="CJ41" i="1"/>
  <c r="EL44" i="1"/>
  <c r="EI45" i="1"/>
  <c r="EP44" i="1"/>
  <c r="CR40" i="1"/>
  <c r="CS40" i="1" s="1"/>
  <c r="CG40" i="1"/>
  <c r="CC40" i="1" s="1"/>
  <c r="BZ40" i="1" s="1"/>
  <c r="BY40" i="1" s="1"/>
  <c r="CL40" i="1"/>
  <c r="CN40" i="1"/>
  <c r="CT40" i="1"/>
  <c r="CP40" i="1"/>
  <c r="CQ40" i="1" s="1"/>
  <c r="DG42" i="1"/>
  <c r="DJ41" i="1"/>
  <c r="DN41" i="1"/>
  <c r="CE42" i="1"/>
  <c r="CB43" i="1"/>
  <c r="CI42" i="1"/>
  <c r="FY40" i="1"/>
  <c r="FT40" i="1"/>
  <c r="FV40" i="1"/>
  <c r="GA40" i="1"/>
  <c r="GG40" i="1" s="1"/>
  <c r="FS40" i="1" s="1"/>
  <c r="FO40" i="1" s="1"/>
  <c r="FL40" i="1" s="1"/>
  <c r="FK40" i="1" s="1"/>
  <c r="FW40" i="1"/>
  <c r="DT40" i="1"/>
  <c r="DZ40" i="1" s="1"/>
  <c r="DP40" i="1"/>
  <c r="DR40" i="1"/>
  <c r="DM40" i="1"/>
  <c r="DO40" i="1"/>
  <c r="DU39" i="1"/>
  <c r="DV39" i="1" s="1"/>
  <c r="DQ39" i="1"/>
  <c r="DW39" i="1"/>
  <c r="DX39" i="1" s="1"/>
  <c r="DL39" i="1"/>
  <c r="DH39" i="1" s="1"/>
  <c r="DE39" i="1" s="1"/>
  <c r="DD39" i="1" s="1"/>
  <c r="DS39" i="1"/>
  <c r="DY39" i="1"/>
  <c r="GD39" i="1"/>
  <c r="GE39" i="1" s="1"/>
  <c r="FZ39" i="1"/>
  <c r="GF39" i="1"/>
  <c r="FX39" i="1"/>
  <c r="GB39" i="1"/>
  <c r="GC39" i="1" s="1"/>
  <c r="FN42" i="1"/>
  <c r="FQ41" i="1"/>
  <c r="FU41" i="1"/>
  <c r="FA42" i="1"/>
  <c r="EN42" i="1"/>
  <c r="EJ42" i="1" s="1"/>
  <c r="EG42" i="1" s="1"/>
  <c r="EF42" i="1" s="1"/>
  <c r="EU42" i="1"/>
  <c r="ES42" i="1"/>
  <c r="EY42" i="1"/>
  <c r="EZ42" i="1" s="1"/>
  <c r="EW42" i="1"/>
  <c r="EX42" i="1" s="1"/>
  <c r="DW281" i="1" l="1"/>
  <c r="DX281" i="1" s="1"/>
  <c r="DQ281" i="1"/>
  <c r="DL281" i="1"/>
  <c r="DH281" i="1" s="1"/>
  <c r="DE281" i="1" s="1"/>
  <c r="DD281" i="1" s="1"/>
  <c r="DY281" i="1"/>
  <c r="DU281" i="1"/>
  <c r="DV281" i="1" s="1"/>
  <c r="DS281" i="1"/>
  <c r="FQ162" i="1"/>
  <c r="FU162" i="1"/>
  <c r="FN163" i="1"/>
  <c r="GB282" i="1"/>
  <c r="GC282" i="1" s="1"/>
  <c r="FX282" i="1"/>
  <c r="GF282" i="1"/>
  <c r="GD282" i="1"/>
  <c r="GE282" i="1" s="1"/>
  <c r="FZ282" i="1"/>
  <c r="FV161" i="1"/>
  <c r="FW161" i="1"/>
  <c r="FY161" i="1"/>
  <c r="FT161" i="1"/>
  <c r="GA161" i="1"/>
  <c r="GG161" i="1" s="1"/>
  <c r="FS161" i="1" s="1"/>
  <c r="FO161" i="1" s="1"/>
  <c r="FL161" i="1" s="1"/>
  <c r="FK161" i="1" s="1"/>
  <c r="GB160" i="1"/>
  <c r="GC160" i="1" s="1"/>
  <c r="GD160" i="1"/>
  <c r="GE160" i="1" s="1"/>
  <c r="FX160" i="1"/>
  <c r="GF160" i="1"/>
  <c r="FZ160" i="1"/>
  <c r="DL160" i="1"/>
  <c r="DH160" i="1" s="1"/>
  <c r="DE160" i="1" s="1"/>
  <c r="DD160" i="1" s="1"/>
  <c r="DY160" i="1"/>
  <c r="DS160" i="1"/>
  <c r="DU160" i="1"/>
  <c r="DV160" i="1" s="1"/>
  <c r="DQ160" i="1"/>
  <c r="DW160" i="1"/>
  <c r="DX160" i="1" s="1"/>
  <c r="FQ284" i="1"/>
  <c r="FU284" i="1"/>
  <c r="DT161" i="1"/>
  <c r="DZ161" i="1" s="1"/>
  <c r="DO161" i="1"/>
  <c r="DP161" i="1"/>
  <c r="DM161" i="1"/>
  <c r="DR161" i="1"/>
  <c r="DJ283" i="1"/>
  <c r="DN283" i="1"/>
  <c r="DG163" i="1"/>
  <c r="DJ162" i="1"/>
  <c r="DN162" i="1"/>
  <c r="FT283" i="1"/>
  <c r="FW283" i="1"/>
  <c r="FY283" i="1"/>
  <c r="FV283" i="1"/>
  <c r="GA283" i="1"/>
  <c r="GG283" i="1" s="1"/>
  <c r="FS283" i="1" s="1"/>
  <c r="FO283" i="1" s="1"/>
  <c r="FL283" i="1" s="1"/>
  <c r="FK283" i="1" s="1"/>
  <c r="DO282" i="1"/>
  <c r="DM282" i="1"/>
  <c r="DR282" i="1"/>
  <c r="DP282" i="1"/>
  <c r="DT282" i="1"/>
  <c r="DZ282" i="1" s="1"/>
  <c r="CG283" i="1"/>
  <c r="CC283" i="1" s="1"/>
  <c r="BZ283" i="1" s="1"/>
  <c r="BY283" i="1" s="1"/>
  <c r="CT283" i="1"/>
  <c r="CL283" i="1"/>
  <c r="CN283" i="1"/>
  <c r="CR283" i="1"/>
  <c r="CS283" i="1" s="1"/>
  <c r="CP283" i="1"/>
  <c r="CQ283" i="1" s="1"/>
  <c r="DG284" i="1"/>
  <c r="CB286" i="1"/>
  <c r="CI285" i="1"/>
  <c r="CE285" i="1"/>
  <c r="CK284" i="1"/>
  <c r="CH284" i="1"/>
  <c r="CO284" i="1"/>
  <c r="CU284" i="1" s="1"/>
  <c r="CM284" i="1"/>
  <c r="CJ284" i="1"/>
  <c r="EY283" i="1"/>
  <c r="EZ283" i="1" s="1"/>
  <c r="EN283" i="1"/>
  <c r="EJ283" i="1" s="1"/>
  <c r="EG283" i="1" s="1"/>
  <c r="EF283" i="1" s="1"/>
  <c r="ES283" i="1"/>
  <c r="FA283" i="1"/>
  <c r="EW283" i="1"/>
  <c r="EX283" i="1" s="1"/>
  <c r="EU283" i="1"/>
  <c r="FN285" i="1"/>
  <c r="EP285" i="1"/>
  <c r="EI286" i="1"/>
  <c r="EL285" i="1"/>
  <c r="EV284" i="1"/>
  <c r="FB284" i="1" s="1"/>
  <c r="ET284" i="1"/>
  <c r="ER284" i="1"/>
  <c r="EQ284" i="1"/>
  <c r="EO284" i="1"/>
  <c r="CT164" i="1"/>
  <c r="CL164" i="1"/>
  <c r="CR164" i="1"/>
  <c r="CS164" i="1" s="1"/>
  <c r="CG164" i="1"/>
  <c r="CC164" i="1" s="1"/>
  <c r="BZ164" i="1" s="1"/>
  <c r="BY164" i="1" s="1"/>
  <c r="CN164" i="1"/>
  <c r="CP164" i="1"/>
  <c r="CQ164" i="1" s="1"/>
  <c r="CH165" i="1"/>
  <c r="CO165" i="1"/>
  <c r="CU165" i="1" s="1"/>
  <c r="CM165" i="1"/>
  <c r="CK165" i="1"/>
  <c r="CJ165" i="1"/>
  <c r="CI166" i="1"/>
  <c r="CB167" i="1"/>
  <c r="CE166" i="1"/>
  <c r="EU163" i="1"/>
  <c r="FA163" i="1"/>
  <c r="ES163" i="1"/>
  <c r="EW163" i="1"/>
  <c r="EX163" i="1" s="1"/>
  <c r="EN163" i="1"/>
  <c r="EJ163" i="1" s="1"/>
  <c r="EG163" i="1" s="1"/>
  <c r="EF163" i="1" s="1"/>
  <c r="EY163" i="1"/>
  <c r="EZ163" i="1" s="1"/>
  <c r="EL165" i="1"/>
  <c r="EP165" i="1"/>
  <c r="EI166" i="1"/>
  <c r="EQ164" i="1"/>
  <c r="EO164" i="1"/>
  <c r="EV164" i="1"/>
  <c r="FB164" i="1" s="1"/>
  <c r="ET164" i="1"/>
  <c r="ER164" i="1"/>
  <c r="EL45" i="1"/>
  <c r="EI46" i="1"/>
  <c r="EP45" i="1"/>
  <c r="CM42" i="1"/>
  <c r="CH42" i="1"/>
  <c r="CK42" i="1"/>
  <c r="CO42" i="1"/>
  <c r="CU42" i="1" s="1"/>
  <c r="CJ42" i="1"/>
  <c r="CB44" i="1"/>
  <c r="CE43" i="1"/>
  <c r="CI43" i="1"/>
  <c r="CN41" i="1"/>
  <c r="CP41" i="1"/>
  <c r="CQ41" i="1" s="1"/>
  <c r="CG41" i="1"/>
  <c r="CC41" i="1" s="1"/>
  <c r="BZ41" i="1" s="1"/>
  <c r="BY41" i="1" s="1"/>
  <c r="CL41" i="1"/>
  <c r="CT41" i="1"/>
  <c r="CR41" i="1"/>
  <c r="CS41" i="1" s="1"/>
  <c r="FN43" i="1"/>
  <c r="FQ42" i="1"/>
  <c r="FU42" i="1"/>
  <c r="DR41" i="1"/>
  <c r="DM41" i="1"/>
  <c r="DT41" i="1"/>
  <c r="DZ41" i="1" s="1"/>
  <c r="DO41" i="1"/>
  <c r="DP41" i="1"/>
  <c r="EQ44" i="1"/>
  <c r="ET44" i="1"/>
  <c r="EO44" i="1"/>
  <c r="EV44" i="1"/>
  <c r="FB44" i="1" s="1"/>
  <c r="ER44" i="1"/>
  <c r="EY43" i="1"/>
  <c r="EZ43" i="1" s="1"/>
  <c r="ES43" i="1"/>
  <c r="EW43" i="1"/>
  <c r="EX43" i="1" s="1"/>
  <c r="EU43" i="1"/>
  <c r="EN43" i="1"/>
  <c r="EJ43" i="1" s="1"/>
  <c r="EG43" i="1" s="1"/>
  <c r="EF43" i="1" s="1"/>
  <c r="FA43" i="1"/>
  <c r="DJ42" i="1"/>
  <c r="DG43" i="1"/>
  <c r="DN42" i="1"/>
  <c r="GB40" i="1"/>
  <c r="GC40" i="1" s="1"/>
  <c r="GF40" i="1"/>
  <c r="FZ40" i="1"/>
  <c r="GD40" i="1"/>
  <c r="GE40" i="1" s="1"/>
  <c r="FX40" i="1"/>
  <c r="DQ40" i="1"/>
  <c r="DW40" i="1"/>
  <c r="DX40" i="1" s="1"/>
  <c r="DY40" i="1"/>
  <c r="DU40" i="1"/>
  <c r="DV40" i="1" s="1"/>
  <c r="DS40" i="1"/>
  <c r="DL40" i="1"/>
  <c r="DH40" i="1" s="1"/>
  <c r="DE40" i="1" s="1"/>
  <c r="DD40" i="1" s="1"/>
  <c r="FT41" i="1"/>
  <c r="FW41" i="1"/>
  <c r="FY41" i="1"/>
  <c r="GA41" i="1"/>
  <c r="GG41" i="1" s="1"/>
  <c r="FS41" i="1" s="1"/>
  <c r="FO41" i="1" s="1"/>
  <c r="FL41" i="1" s="1"/>
  <c r="FK41" i="1" s="1"/>
  <c r="FV41" i="1"/>
  <c r="DG164" i="1" l="1"/>
  <c r="DN163" i="1"/>
  <c r="DJ163" i="1"/>
  <c r="FW284" i="1"/>
  <c r="FT284" i="1"/>
  <c r="FV284" i="1"/>
  <c r="FY284" i="1"/>
  <c r="GA284" i="1"/>
  <c r="GG284" i="1" s="1"/>
  <c r="FS284" i="1" s="1"/>
  <c r="FO284" i="1" s="1"/>
  <c r="FL284" i="1" s="1"/>
  <c r="FK284" i="1" s="1"/>
  <c r="FW162" i="1"/>
  <c r="FT162" i="1"/>
  <c r="FV162" i="1"/>
  <c r="FY162" i="1"/>
  <c r="GA162" i="1"/>
  <c r="GG162" i="1" s="1"/>
  <c r="FS162" i="1" s="1"/>
  <c r="FO162" i="1" s="1"/>
  <c r="FL162" i="1" s="1"/>
  <c r="FK162" i="1" s="1"/>
  <c r="DO283" i="1"/>
  <c r="DM283" i="1"/>
  <c r="DP283" i="1"/>
  <c r="DR283" i="1"/>
  <c r="DT283" i="1"/>
  <c r="DZ283" i="1" s="1"/>
  <c r="DY161" i="1"/>
  <c r="DL161" i="1"/>
  <c r="DH161" i="1" s="1"/>
  <c r="DE161" i="1" s="1"/>
  <c r="DD161" i="1" s="1"/>
  <c r="DS161" i="1"/>
  <c r="DU161" i="1"/>
  <c r="DV161" i="1" s="1"/>
  <c r="DW161" i="1"/>
  <c r="DX161" i="1" s="1"/>
  <c r="DQ161" i="1"/>
  <c r="GD283" i="1"/>
  <c r="GE283" i="1" s="1"/>
  <c r="FX283" i="1"/>
  <c r="GF283" i="1"/>
  <c r="GB283" i="1"/>
  <c r="GC283" i="1" s="1"/>
  <c r="FZ283" i="1"/>
  <c r="DJ284" i="1"/>
  <c r="DN284" i="1"/>
  <c r="DP162" i="1"/>
  <c r="DT162" i="1"/>
  <c r="DZ162" i="1" s="1"/>
  <c r="DM162" i="1"/>
  <c r="DR162" i="1"/>
  <c r="DO162" i="1"/>
  <c r="FX161" i="1"/>
  <c r="GF161" i="1"/>
  <c r="GB161" i="1"/>
  <c r="GC161" i="1" s="1"/>
  <c r="GD161" i="1"/>
  <c r="GE161" i="1" s="1"/>
  <c r="FZ161" i="1"/>
  <c r="FQ285" i="1"/>
  <c r="FU285" i="1"/>
  <c r="DL282" i="1"/>
  <c r="DH282" i="1" s="1"/>
  <c r="DE282" i="1" s="1"/>
  <c r="DD282" i="1" s="1"/>
  <c r="DW282" i="1"/>
  <c r="DX282" i="1" s="1"/>
  <c r="DQ282" i="1"/>
  <c r="DY282" i="1"/>
  <c r="DU282" i="1"/>
  <c r="DV282" i="1" s="1"/>
  <c r="DS282" i="1"/>
  <c r="FQ163" i="1"/>
  <c r="FU163" i="1"/>
  <c r="FN164" i="1"/>
  <c r="EN284" i="1"/>
  <c r="EJ284" i="1" s="1"/>
  <c r="EG284" i="1" s="1"/>
  <c r="EF284" i="1" s="1"/>
  <c r="EU284" i="1"/>
  <c r="FA284" i="1"/>
  <c r="EY284" i="1"/>
  <c r="EZ284" i="1" s="1"/>
  <c r="EW284" i="1"/>
  <c r="EX284" i="1" s="1"/>
  <c r="ES284" i="1"/>
  <c r="EP286" i="1"/>
  <c r="EI287" i="1"/>
  <c r="EL286" i="1"/>
  <c r="ET285" i="1"/>
  <c r="ER285" i="1"/>
  <c r="EQ285" i="1"/>
  <c r="EV285" i="1"/>
  <c r="FB285" i="1" s="1"/>
  <c r="EO285" i="1"/>
  <c r="CO285" i="1"/>
  <c r="CU285" i="1" s="1"/>
  <c r="CM285" i="1"/>
  <c r="CK285" i="1"/>
  <c r="CJ285" i="1"/>
  <c r="CH285" i="1"/>
  <c r="FN286" i="1"/>
  <c r="CI286" i="1"/>
  <c r="CB287" i="1"/>
  <c r="CE286" i="1"/>
  <c r="DG285" i="1"/>
  <c r="CP284" i="1"/>
  <c r="CQ284" i="1" s="1"/>
  <c r="CG284" i="1"/>
  <c r="CC284" i="1" s="1"/>
  <c r="BZ284" i="1" s="1"/>
  <c r="BY284" i="1" s="1"/>
  <c r="CT284" i="1"/>
  <c r="CR284" i="1"/>
  <c r="CS284" i="1" s="1"/>
  <c r="CN284" i="1"/>
  <c r="CL284" i="1"/>
  <c r="CB168" i="1"/>
  <c r="CE167" i="1"/>
  <c r="CI167" i="1"/>
  <c r="EP166" i="1"/>
  <c r="EI167" i="1"/>
  <c r="EL166" i="1"/>
  <c r="CK166" i="1"/>
  <c r="CJ166" i="1"/>
  <c r="CH166" i="1"/>
  <c r="CO166" i="1"/>
  <c r="CU166" i="1" s="1"/>
  <c r="CM166" i="1"/>
  <c r="ET165" i="1"/>
  <c r="ER165" i="1"/>
  <c r="EQ165" i="1"/>
  <c r="EO165" i="1"/>
  <c r="EV165" i="1"/>
  <c r="FB165" i="1" s="1"/>
  <c r="EY164" i="1"/>
  <c r="EZ164" i="1" s="1"/>
  <c r="EW164" i="1"/>
  <c r="EX164" i="1" s="1"/>
  <c r="EN164" i="1"/>
  <c r="EJ164" i="1" s="1"/>
  <c r="EG164" i="1" s="1"/>
  <c r="EF164" i="1" s="1"/>
  <c r="EU164" i="1"/>
  <c r="FA164" i="1"/>
  <c r="ES164" i="1"/>
  <c r="CP165" i="1"/>
  <c r="CQ165" i="1" s="1"/>
  <c r="CG165" i="1"/>
  <c r="CC165" i="1" s="1"/>
  <c r="BZ165" i="1" s="1"/>
  <c r="BY165" i="1" s="1"/>
  <c r="CN165" i="1"/>
  <c r="CT165" i="1"/>
  <c r="CL165" i="1"/>
  <c r="CR165" i="1"/>
  <c r="CS165" i="1" s="1"/>
  <c r="CB45" i="1"/>
  <c r="CE44" i="1"/>
  <c r="CI44" i="1"/>
  <c r="DR42" i="1"/>
  <c r="DP42" i="1"/>
  <c r="DM42" i="1"/>
  <c r="DO42" i="1"/>
  <c r="DT42" i="1"/>
  <c r="DZ42" i="1" s="1"/>
  <c r="EN44" i="1"/>
  <c r="EJ44" i="1" s="1"/>
  <c r="EG44" i="1" s="1"/>
  <c r="EF44" i="1" s="1"/>
  <c r="EU44" i="1"/>
  <c r="FA44" i="1"/>
  <c r="EW44" i="1"/>
  <c r="EX44" i="1" s="1"/>
  <c r="EY44" i="1"/>
  <c r="EZ44" i="1" s="1"/>
  <c r="ES44" i="1"/>
  <c r="FZ41" i="1"/>
  <c r="FX41" i="1"/>
  <c r="GF41" i="1"/>
  <c r="GB41" i="1"/>
  <c r="GC41" i="1" s="1"/>
  <c r="GD41" i="1"/>
  <c r="GE41" i="1" s="1"/>
  <c r="DJ43" i="1"/>
  <c r="DG44" i="1"/>
  <c r="DN43" i="1"/>
  <c r="DL41" i="1"/>
  <c r="DH41" i="1" s="1"/>
  <c r="DE41" i="1" s="1"/>
  <c r="DD41" i="1" s="1"/>
  <c r="DW41" i="1"/>
  <c r="DX41" i="1" s="1"/>
  <c r="DU41" i="1"/>
  <c r="DV41" i="1" s="1"/>
  <c r="DY41" i="1"/>
  <c r="DQ41" i="1"/>
  <c r="DS41" i="1"/>
  <c r="CG42" i="1"/>
  <c r="CC42" i="1" s="1"/>
  <c r="BZ42" i="1" s="1"/>
  <c r="BY42" i="1" s="1"/>
  <c r="CT42" i="1"/>
  <c r="CP42" i="1"/>
  <c r="CQ42" i="1" s="1"/>
  <c r="CN42" i="1"/>
  <c r="CR42" i="1"/>
  <c r="CS42" i="1" s="1"/>
  <c r="CL42" i="1"/>
  <c r="FY42" i="1"/>
  <c r="FT42" i="1"/>
  <c r="FW42" i="1"/>
  <c r="GA42" i="1"/>
  <c r="GG42" i="1" s="1"/>
  <c r="FS42" i="1" s="1"/>
  <c r="FO42" i="1" s="1"/>
  <c r="FL42" i="1" s="1"/>
  <c r="FK42" i="1" s="1"/>
  <c r="FV42" i="1"/>
  <c r="CH43" i="1"/>
  <c r="CK43" i="1"/>
  <c r="CM43" i="1"/>
  <c r="CO43" i="1"/>
  <c r="CU43" i="1" s="1"/>
  <c r="CJ43" i="1"/>
  <c r="ER45" i="1"/>
  <c r="EO45" i="1"/>
  <c r="EV45" i="1"/>
  <c r="FB45" i="1" s="1"/>
  <c r="ET45" i="1"/>
  <c r="EQ45" i="1"/>
  <c r="FN44" i="1"/>
  <c r="FQ43" i="1"/>
  <c r="FU43" i="1"/>
  <c r="EI47" i="1"/>
  <c r="EL46" i="1"/>
  <c r="EP46" i="1"/>
  <c r="DM284" i="1" l="1"/>
  <c r="DO284" i="1"/>
  <c r="DP284" i="1"/>
  <c r="DR284" i="1"/>
  <c r="DT284" i="1"/>
  <c r="DZ284" i="1" s="1"/>
  <c r="DW283" i="1"/>
  <c r="DX283" i="1" s="1"/>
  <c r="DU283" i="1"/>
  <c r="DV283" i="1" s="1"/>
  <c r="DL283" i="1"/>
  <c r="DH283" i="1" s="1"/>
  <c r="DE283" i="1" s="1"/>
  <c r="DD283" i="1" s="1"/>
  <c r="DY283" i="1"/>
  <c r="DQ283" i="1"/>
  <c r="DS283" i="1"/>
  <c r="FQ286" i="1"/>
  <c r="FU286" i="1"/>
  <c r="GD284" i="1"/>
  <c r="GE284" i="1" s="1"/>
  <c r="FX284" i="1"/>
  <c r="GF284" i="1"/>
  <c r="GB284" i="1"/>
  <c r="GC284" i="1" s="1"/>
  <c r="FZ284" i="1"/>
  <c r="FQ164" i="1"/>
  <c r="FU164" i="1"/>
  <c r="FN165" i="1"/>
  <c r="DJ285" i="1"/>
  <c r="DN285" i="1"/>
  <c r="GA163" i="1"/>
  <c r="GG163" i="1" s="1"/>
  <c r="FS163" i="1" s="1"/>
  <c r="FO163" i="1" s="1"/>
  <c r="FL163" i="1" s="1"/>
  <c r="FK163" i="1" s="1"/>
  <c r="FY163" i="1"/>
  <c r="FV163" i="1"/>
  <c r="FT163" i="1"/>
  <c r="FW163" i="1"/>
  <c r="FY285" i="1"/>
  <c r="FV285" i="1"/>
  <c r="FT285" i="1"/>
  <c r="FW285" i="1"/>
  <c r="GA285" i="1"/>
  <c r="GG285" i="1" s="1"/>
  <c r="FS285" i="1" s="1"/>
  <c r="FO285" i="1" s="1"/>
  <c r="FL285" i="1" s="1"/>
  <c r="FK285" i="1" s="1"/>
  <c r="DU162" i="1"/>
  <c r="DV162" i="1" s="1"/>
  <c r="DY162" i="1"/>
  <c r="DQ162" i="1"/>
  <c r="DW162" i="1"/>
  <c r="DX162" i="1" s="1"/>
  <c r="DS162" i="1"/>
  <c r="DL162" i="1"/>
  <c r="DH162" i="1" s="1"/>
  <c r="DE162" i="1" s="1"/>
  <c r="DD162" i="1" s="1"/>
  <c r="FX162" i="1"/>
  <c r="GB162" i="1"/>
  <c r="GC162" i="1" s="1"/>
  <c r="GD162" i="1"/>
  <c r="GE162" i="1" s="1"/>
  <c r="GF162" i="1"/>
  <c r="FZ162" i="1"/>
  <c r="DP163" i="1"/>
  <c r="DR163" i="1"/>
  <c r="DM163" i="1"/>
  <c r="DT163" i="1"/>
  <c r="DZ163" i="1" s="1"/>
  <c r="DO163" i="1"/>
  <c r="DG165" i="1"/>
  <c r="DJ164" i="1"/>
  <c r="DN164" i="1"/>
  <c r="DG286" i="1"/>
  <c r="CG285" i="1"/>
  <c r="CC285" i="1" s="1"/>
  <c r="BZ285" i="1" s="1"/>
  <c r="BY285" i="1" s="1"/>
  <c r="CT285" i="1"/>
  <c r="CL285" i="1"/>
  <c r="CR285" i="1"/>
  <c r="CS285" i="1" s="1"/>
  <c r="CP285" i="1"/>
  <c r="CQ285" i="1" s="1"/>
  <c r="CN285" i="1"/>
  <c r="EP287" i="1"/>
  <c r="EI288" i="1"/>
  <c r="EL287" i="1"/>
  <c r="EV286" i="1"/>
  <c r="FB286" i="1" s="1"/>
  <c r="ET286" i="1"/>
  <c r="ER286" i="1"/>
  <c r="EQ286" i="1"/>
  <c r="EO286" i="1"/>
  <c r="FN287" i="1"/>
  <c r="EY285" i="1"/>
  <c r="EZ285" i="1" s="1"/>
  <c r="EN285" i="1"/>
  <c r="EJ285" i="1" s="1"/>
  <c r="EG285" i="1" s="1"/>
  <c r="EF285" i="1" s="1"/>
  <c r="FA285" i="1"/>
  <c r="EW285" i="1"/>
  <c r="EX285" i="1" s="1"/>
  <c r="EU285" i="1"/>
  <c r="ES285" i="1"/>
  <c r="CB288" i="1"/>
  <c r="CI287" i="1"/>
  <c r="CE287" i="1"/>
  <c r="CK286" i="1"/>
  <c r="CH286" i="1"/>
  <c r="CO286" i="1"/>
  <c r="CU286" i="1" s="1"/>
  <c r="CM286" i="1"/>
  <c r="CJ286" i="1"/>
  <c r="EU165" i="1"/>
  <c r="FA165" i="1"/>
  <c r="ES165" i="1"/>
  <c r="EY165" i="1"/>
  <c r="EZ165" i="1" s="1"/>
  <c r="EW165" i="1"/>
  <c r="EX165" i="1" s="1"/>
  <c r="EN165" i="1"/>
  <c r="EJ165" i="1" s="1"/>
  <c r="EG165" i="1" s="1"/>
  <c r="EF165" i="1" s="1"/>
  <c r="EQ166" i="1"/>
  <c r="EO166" i="1"/>
  <c r="EV166" i="1"/>
  <c r="FB166" i="1" s="1"/>
  <c r="ET166" i="1"/>
  <c r="ER166" i="1"/>
  <c r="CT166" i="1"/>
  <c r="CL166" i="1"/>
  <c r="CR166" i="1"/>
  <c r="CS166" i="1" s="1"/>
  <c r="CP166" i="1"/>
  <c r="CQ166" i="1" s="1"/>
  <c r="CG166" i="1"/>
  <c r="CC166" i="1" s="1"/>
  <c r="BZ166" i="1" s="1"/>
  <c r="BY166" i="1" s="1"/>
  <c r="CN166" i="1"/>
  <c r="CH167" i="1"/>
  <c r="CO167" i="1"/>
  <c r="CU167" i="1" s="1"/>
  <c r="CM167" i="1"/>
  <c r="CK167" i="1"/>
  <c r="CJ167" i="1"/>
  <c r="EL167" i="1"/>
  <c r="EP167" i="1"/>
  <c r="EI168" i="1"/>
  <c r="CI168" i="1"/>
  <c r="CB169" i="1"/>
  <c r="CE168" i="1"/>
  <c r="CE45" i="1"/>
  <c r="CB46" i="1"/>
  <c r="CI45" i="1"/>
  <c r="CT43" i="1"/>
  <c r="CP43" i="1"/>
  <c r="CQ43" i="1" s="1"/>
  <c r="CL43" i="1"/>
  <c r="CR43" i="1"/>
  <c r="CS43" i="1" s="1"/>
  <c r="CG43" i="1"/>
  <c r="CC43" i="1" s="1"/>
  <c r="BZ43" i="1" s="1"/>
  <c r="BY43" i="1" s="1"/>
  <c r="CN43" i="1"/>
  <c r="EW45" i="1"/>
  <c r="EX45" i="1" s="1"/>
  <c r="ES45" i="1"/>
  <c r="EN45" i="1"/>
  <c r="EJ45" i="1" s="1"/>
  <c r="EG45" i="1" s="1"/>
  <c r="EF45" i="1" s="1"/>
  <c r="EU45" i="1"/>
  <c r="EY45" i="1"/>
  <c r="EZ45" i="1" s="1"/>
  <c r="FA45" i="1"/>
  <c r="DR43" i="1"/>
  <c r="DP43" i="1"/>
  <c r="DM43" i="1"/>
  <c r="DO43" i="1"/>
  <c r="DT43" i="1"/>
  <c r="DZ43" i="1" s="1"/>
  <c r="DS42" i="1"/>
  <c r="DQ42" i="1"/>
  <c r="DY42" i="1"/>
  <c r="DU42" i="1"/>
  <c r="DV42" i="1" s="1"/>
  <c r="DW42" i="1"/>
  <c r="DX42" i="1" s="1"/>
  <c r="DL42" i="1"/>
  <c r="DH42" i="1" s="1"/>
  <c r="DE42" i="1" s="1"/>
  <c r="DD42" i="1" s="1"/>
  <c r="DG45" i="1"/>
  <c r="DJ44" i="1"/>
  <c r="DN44" i="1"/>
  <c r="FW43" i="1"/>
  <c r="FT43" i="1"/>
  <c r="FV43" i="1"/>
  <c r="FY43" i="1"/>
  <c r="GA43" i="1"/>
  <c r="GG43" i="1" s="1"/>
  <c r="FS43" i="1" s="1"/>
  <c r="FO43" i="1" s="1"/>
  <c r="FL43" i="1" s="1"/>
  <c r="FK43" i="1" s="1"/>
  <c r="GB42" i="1"/>
  <c r="GC42" i="1" s="1"/>
  <c r="GD42" i="1"/>
  <c r="GE42" i="1" s="1"/>
  <c r="FZ42" i="1"/>
  <c r="GF42" i="1"/>
  <c r="FX42" i="1"/>
  <c r="ET46" i="1"/>
  <c r="EV46" i="1"/>
  <c r="FB46" i="1" s="1"/>
  <c r="EQ46" i="1"/>
  <c r="EO46" i="1"/>
  <c r="ER46" i="1"/>
  <c r="CH44" i="1"/>
  <c r="CJ44" i="1"/>
  <c r="CK44" i="1"/>
  <c r="CM44" i="1"/>
  <c r="CO44" i="1"/>
  <c r="CU44" i="1" s="1"/>
  <c r="EI48" i="1"/>
  <c r="EL47" i="1"/>
  <c r="EP47" i="1"/>
  <c r="FN45" i="1"/>
  <c r="FQ44" i="1"/>
  <c r="FU44" i="1"/>
  <c r="DQ163" i="1" l="1"/>
  <c r="DW163" i="1"/>
  <c r="DX163" i="1" s="1"/>
  <c r="DY163" i="1"/>
  <c r="DS163" i="1"/>
  <c r="DU163" i="1"/>
  <c r="DV163" i="1" s="1"/>
  <c r="DL163" i="1"/>
  <c r="DH163" i="1" s="1"/>
  <c r="DE163" i="1" s="1"/>
  <c r="DD163" i="1" s="1"/>
  <c r="GB285" i="1"/>
  <c r="GC285" i="1" s="1"/>
  <c r="FX285" i="1"/>
  <c r="GD285" i="1"/>
  <c r="GE285" i="1" s="1"/>
  <c r="GF285" i="1"/>
  <c r="FZ285" i="1"/>
  <c r="DT285" i="1"/>
  <c r="DZ285" i="1" s="1"/>
  <c r="DO285" i="1"/>
  <c r="DR285" i="1"/>
  <c r="DM285" i="1"/>
  <c r="DP285" i="1"/>
  <c r="FQ165" i="1"/>
  <c r="FU165" i="1"/>
  <c r="FN166" i="1"/>
  <c r="FW286" i="1"/>
  <c r="FY286" i="1"/>
  <c r="FT286" i="1"/>
  <c r="FV286" i="1"/>
  <c r="GA286" i="1"/>
  <c r="GG286" i="1" s="1"/>
  <c r="FS286" i="1" s="1"/>
  <c r="FO286" i="1" s="1"/>
  <c r="FL286" i="1" s="1"/>
  <c r="FK286" i="1" s="1"/>
  <c r="DM164" i="1"/>
  <c r="DO164" i="1"/>
  <c r="DP164" i="1"/>
  <c r="DR164" i="1"/>
  <c r="DT164" i="1"/>
  <c r="DZ164" i="1" s="1"/>
  <c r="FV164" i="1"/>
  <c r="FW164" i="1"/>
  <c r="FT164" i="1"/>
  <c r="FY164" i="1"/>
  <c r="GA164" i="1"/>
  <c r="GG164" i="1" s="1"/>
  <c r="FS164" i="1" s="1"/>
  <c r="FO164" i="1" s="1"/>
  <c r="FL164" i="1" s="1"/>
  <c r="FK164" i="1" s="1"/>
  <c r="DJ286" i="1"/>
  <c r="DN286" i="1"/>
  <c r="GB163" i="1"/>
  <c r="GC163" i="1" s="1"/>
  <c r="GD163" i="1"/>
  <c r="GE163" i="1" s="1"/>
  <c r="FX163" i="1"/>
  <c r="GF163" i="1"/>
  <c r="FZ163" i="1"/>
  <c r="FQ287" i="1"/>
  <c r="FU287" i="1"/>
  <c r="DN165" i="1"/>
  <c r="DJ165" i="1"/>
  <c r="DG166" i="1"/>
  <c r="DL284" i="1"/>
  <c r="DH284" i="1" s="1"/>
  <c r="DE284" i="1" s="1"/>
  <c r="DD284" i="1" s="1"/>
  <c r="DU284" i="1"/>
  <c r="DV284" i="1" s="1"/>
  <c r="DQ284" i="1"/>
  <c r="DW284" i="1"/>
  <c r="DX284" i="1" s="1"/>
  <c r="DY284" i="1"/>
  <c r="DS284" i="1"/>
  <c r="FN288" i="1"/>
  <c r="CP286" i="1"/>
  <c r="CQ286" i="1" s="1"/>
  <c r="CG286" i="1"/>
  <c r="CC286" i="1" s="1"/>
  <c r="BZ286" i="1" s="1"/>
  <c r="BY286" i="1" s="1"/>
  <c r="CR286" i="1"/>
  <c r="CS286" i="1" s="1"/>
  <c r="CN286" i="1"/>
  <c r="CL286" i="1"/>
  <c r="CT286" i="1"/>
  <c r="CO287" i="1"/>
  <c r="CU287" i="1" s="1"/>
  <c r="CM287" i="1"/>
  <c r="CK287" i="1"/>
  <c r="CJ287" i="1"/>
  <c r="CH287" i="1"/>
  <c r="CI288" i="1"/>
  <c r="CB289" i="1"/>
  <c r="CE288" i="1"/>
  <c r="EP288" i="1"/>
  <c r="EI289" i="1"/>
  <c r="EL288" i="1"/>
  <c r="ET287" i="1"/>
  <c r="ER287" i="1"/>
  <c r="EQ287" i="1"/>
  <c r="EO287" i="1"/>
  <c r="EV287" i="1"/>
  <c r="FB287" i="1" s="1"/>
  <c r="EN286" i="1"/>
  <c r="EJ286" i="1" s="1"/>
  <c r="EG286" i="1" s="1"/>
  <c r="EF286" i="1" s="1"/>
  <c r="EU286" i="1"/>
  <c r="EW286" i="1"/>
  <c r="EX286" i="1" s="1"/>
  <c r="ES286" i="1"/>
  <c r="FA286" i="1"/>
  <c r="EY286" i="1"/>
  <c r="EZ286" i="1" s="1"/>
  <c r="DG287" i="1"/>
  <c r="EY166" i="1"/>
  <c r="EZ166" i="1" s="1"/>
  <c r="EW166" i="1"/>
  <c r="EX166" i="1" s="1"/>
  <c r="EN166" i="1"/>
  <c r="EJ166" i="1" s="1"/>
  <c r="EG166" i="1" s="1"/>
  <c r="EF166" i="1" s="1"/>
  <c r="EU166" i="1"/>
  <c r="FA166" i="1"/>
  <c r="ES166" i="1"/>
  <c r="CK168" i="1"/>
  <c r="CJ168" i="1"/>
  <c r="CH168" i="1"/>
  <c r="CO168" i="1"/>
  <c r="CU168" i="1" s="1"/>
  <c r="CM168" i="1"/>
  <c r="CB170" i="1"/>
  <c r="CE169" i="1"/>
  <c r="CI169" i="1"/>
  <c r="ET167" i="1"/>
  <c r="ER167" i="1"/>
  <c r="EQ167" i="1"/>
  <c r="EO167" i="1"/>
  <c r="EV167" i="1"/>
  <c r="FB167" i="1" s="1"/>
  <c r="EP168" i="1"/>
  <c r="EI169" i="1"/>
  <c r="EL168" i="1"/>
  <c r="CP167" i="1"/>
  <c r="CQ167" i="1" s="1"/>
  <c r="CG167" i="1"/>
  <c r="CC167" i="1" s="1"/>
  <c r="BZ167" i="1" s="1"/>
  <c r="BY167" i="1" s="1"/>
  <c r="CN167" i="1"/>
  <c r="CT167" i="1"/>
  <c r="CL167" i="1"/>
  <c r="CR167" i="1"/>
  <c r="CS167" i="1" s="1"/>
  <c r="GD43" i="1"/>
  <c r="GE43" i="1" s="1"/>
  <c r="FZ43" i="1"/>
  <c r="GF43" i="1"/>
  <c r="FX43" i="1"/>
  <c r="GB43" i="1"/>
  <c r="GC43" i="1" s="1"/>
  <c r="FW44" i="1"/>
  <c r="FV44" i="1"/>
  <c r="GA44" i="1"/>
  <c r="GG44" i="1" s="1"/>
  <c r="FS44" i="1" s="1"/>
  <c r="FO44" i="1" s="1"/>
  <c r="FL44" i="1" s="1"/>
  <c r="FK44" i="1" s="1"/>
  <c r="FT44" i="1"/>
  <c r="FY44" i="1"/>
  <c r="FN46" i="1"/>
  <c r="FQ45" i="1"/>
  <c r="FU45" i="1"/>
  <c r="DT44" i="1"/>
  <c r="DZ44" i="1" s="1"/>
  <c r="DM44" i="1"/>
  <c r="DO44" i="1"/>
  <c r="DR44" i="1"/>
  <c r="DP44" i="1"/>
  <c r="EV47" i="1"/>
  <c r="FB47" i="1" s="1"/>
  <c r="ER47" i="1"/>
  <c r="EQ47" i="1"/>
  <c r="EO47" i="1"/>
  <c r="ET47" i="1"/>
  <c r="EW46" i="1"/>
  <c r="EX46" i="1" s="1"/>
  <c r="EU46" i="1"/>
  <c r="FA46" i="1"/>
  <c r="EY46" i="1"/>
  <c r="EZ46" i="1" s="1"/>
  <c r="ES46" i="1"/>
  <c r="EN46" i="1"/>
  <c r="EJ46" i="1" s="1"/>
  <c r="EG46" i="1" s="1"/>
  <c r="EF46" i="1" s="1"/>
  <c r="DG46" i="1"/>
  <c r="DJ45" i="1"/>
  <c r="DN45" i="1"/>
  <c r="CO45" i="1"/>
  <c r="CU45" i="1" s="1"/>
  <c r="CH45" i="1"/>
  <c r="CJ45" i="1"/>
  <c r="CK45" i="1"/>
  <c r="CM45" i="1"/>
  <c r="CT44" i="1"/>
  <c r="CN44" i="1"/>
  <c r="CR44" i="1"/>
  <c r="CS44" i="1" s="1"/>
  <c r="CL44" i="1"/>
  <c r="CP44" i="1"/>
  <c r="CQ44" i="1" s="1"/>
  <c r="CG44" i="1"/>
  <c r="CC44" i="1" s="1"/>
  <c r="BZ44" i="1" s="1"/>
  <c r="BY44" i="1" s="1"/>
  <c r="EI49" i="1"/>
  <c r="EL48" i="1"/>
  <c r="EP48" i="1"/>
  <c r="DQ43" i="1"/>
  <c r="DU43" i="1"/>
  <c r="DV43" i="1" s="1"/>
  <c r="DS43" i="1"/>
  <c r="DL43" i="1"/>
  <c r="DH43" i="1" s="1"/>
  <c r="DE43" i="1" s="1"/>
  <c r="DD43" i="1" s="1"/>
  <c r="DW43" i="1"/>
  <c r="DX43" i="1" s="1"/>
  <c r="DY43" i="1"/>
  <c r="CB47" i="1"/>
  <c r="CE46" i="1"/>
  <c r="CI46" i="1"/>
  <c r="GD164" i="1" l="1"/>
  <c r="GE164" i="1" s="1"/>
  <c r="FX164" i="1"/>
  <c r="GB164" i="1"/>
  <c r="GC164" i="1" s="1"/>
  <c r="GF164" i="1"/>
  <c r="FZ164" i="1"/>
  <c r="DS285" i="1"/>
  <c r="DL285" i="1"/>
  <c r="DH285" i="1" s="1"/>
  <c r="DE285" i="1" s="1"/>
  <c r="DD285" i="1" s="1"/>
  <c r="DU285" i="1"/>
  <c r="DV285" i="1" s="1"/>
  <c r="DQ285" i="1"/>
  <c r="DW285" i="1"/>
  <c r="DX285" i="1" s="1"/>
  <c r="DY285" i="1"/>
  <c r="DJ166" i="1"/>
  <c r="DN166" i="1"/>
  <c r="DG167" i="1"/>
  <c r="FX286" i="1"/>
  <c r="GB286" i="1"/>
  <c r="GC286" i="1" s="1"/>
  <c r="GD286" i="1"/>
  <c r="GE286" i="1" s="1"/>
  <c r="GF286" i="1"/>
  <c r="FZ286" i="1"/>
  <c r="DO165" i="1"/>
  <c r="DR165" i="1"/>
  <c r="DP165" i="1"/>
  <c r="DT165" i="1"/>
  <c r="DZ165" i="1" s="1"/>
  <c r="DM165" i="1"/>
  <c r="DP286" i="1"/>
  <c r="DR286" i="1"/>
  <c r="DO286" i="1"/>
  <c r="DM286" i="1"/>
  <c r="DT286" i="1"/>
  <c r="DZ286" i="1" s="1"/>
  <c r="FQ288" i="1"/>
  <c r="FU288" i="1"/>
  <c r="FW287" i="1"/>
  <c r="FV287" i="1"/>
  <c r="FY287" i="1"/>
  <c r="FT287" i="1"/>
  <c r="GA287" i="1"/>
  <c r="GG287" i="1" s="1"/>
  <c r="FS287" i="1" s="1"/>
  <c r="FO287" i="1" s="1"/>
  <c r="FL287" i="1" s="1"/>
  <c r="FK287" i="1" s="1"/>
  <c r="FQ166" i="1"/>
  <c r="FU166" i="1"/>
  <c r="FN167" i="1"/>
  <c r="DJ287" i="1"/>
  <c r="DN287" i="1"/>
  <c r="FT165" i="1"/>
  <c r="FY165" i="1"/>
  <c r="FV165" i="1"/>
  <c r="FW165" i="1"/>
  <c r="GA165" i="1"/>
  <c r="GG165" i="1" s="1"/>
  <c r="FS165" i="1" s="1"/>
  <c r="FO165" i="1" s="1"/>
  <c r="FL165" i="1" s="1"/>
  <c r="FK165" i="1" s="1"/>
  <c r="DL164" i="1"/>
  <c r="DH164" i="1" s="1"/>
  <c r="DE164" i="1" s="1"/>
  <c r="DD164" i="1" s="1"/>
  <c r="DY164" i="1"/>
  <c r="DQ164" i="1"/>
  <c r="DU164" i="1"/>
  <c r="DV164" i="1" s="1"/>
  <c r="DW164" i="1"/>
  <c r="DX164" i="1" s="1"/>
  <c r="DS164" i="1"/>
  <c r="CK288" i="1"/>
  <c r="CJ288" i="1"/>
  <c r="CH288" i="1"/>
  <c r="CO288" i="1"/>
  <c r="CU288" i="1" s="1"/>
  <c r="CM288" i="1"/>
  <c r="DG288" i="1"/>
  <c r="FN289" i="1"/>
  <c r="FA287" i="1"/>
  <c r="ES287" i="1"/>
  <c r="EY287" i="1"/>
  <c r="EZ287" i="1" s="1"/>
  <c r="EW287" i="1"/>
  <c r="EX287" i="1" s="1"/>
  <c r="EN287" i="1"/>
  <c r="EJ287" i="1" s="1"/>
  <c r="EG287" i="1" s="1"/>
  <c r="EF287" i="1" s="1"/>
  <c r="EU287" i="1"/>
  <c r="EI290" i="1"/>
  <c r="EP289" i="1"/>
  <c r="EL289" i="1"/>
  <c r="CG287" i="1"/>
  <c r="CC287" i="1" s="1"/>
  <c r="BZ287" i="1" s="1"/>
  <c r="BY287" i="1" s="1"/>
  <c r="CN287" i="1"/>
  <c r="CT287" i="1"/>
  <c r="CL287" i="1"/>
  <c r="CR287" i="1"/>
  <c r="CS287" i="1" s="1"/>
  <c r="CP287" i="1"/>
  <c r="CQ287" i="1" s="1"/>
  <c r="EO288" i="1"/>
  <c r="EV288" i="1"/>
  <c r="FB288" i="1" s="1"/>
  <c r="ET288" i="1"/>
  <c r="ER288" i="1"/>
  <c r="EQ288" i="1"/>
  <c r="CB290" i="1"/>
  <c r="CE289" i="1"/>
  <c r="CI289" i="1"/>
  <c r="EU167" i="1"/>
  <c r="FA167" i="1"/>
  <c r="ES167" i="1"/>
  <c r="EY167" i="1"/>
  <c r="EZ167" i="1" s="1"/>
  <c r="EW167" i="1"/>
  <c r="EX167" i="1" s="1"/>
  <c r="EN167" i="1"/>
  <c r="EJ167" i="1" s="1"/>
  <c r="EG167" i="1" s="1"/>
  <c r="EF167" i="1" s="1"/>
  <c r="CI170" i="1"/>
  <c r="CB171" i="1"/>
  <c r="CE170" i="1"/>
  <c r="EL169" i="1"/>
  <c r="EP169" i="1"/>
  <c r="EI170" i="1"/>
  <c r="EQ168" i="1"/>
  <c r="EO168" i="1"/>
  <c r="EV168" i="1"/>
  <c r="FB168" i="1" s="1"/>
  <c r="ET168" i="1"/>
  <c r="ER168" i="1"/>
  <c r="CH169" i="1"/>
  <c r="CO169" i="1"/>
  <c r="CU169" i="1" s="1"/>
  <c r="CM169" i="1"/>
  <c r="CK169" i="1"/>
  <c r="CJ169" i="1"/>
  <c r="CT168" i="1"/>
  <c r="CL168" i="1"/>
  <c r="CR168" i="1"/>
  <c r="CS168" i="1" s="1"/>
  <c r="CP168" i="1"/>
  <c r="CQ168" i="1" s="1"/>
  <c r="CG168" i="1"/>
  <c r="CC168" i="1" s="1"/>
  <c r="BZ168" i="1" s="1"/>
  <c r="BY168" i="1" s="1"/>
  <c r="CN168" i="1"/>
  <c r="DL44" i="1"/>
  <c r="DH44" i="1" s="1"/>
  <c r="DE44" i="1" s="1"/>
  <c r="DD44" i="1" s="1"/>
  <c r="DQ44" i="1"/>
  <c r="DU44" i="1"/>
  <c r="DV44" i="1" s="1"/>
  <c r="DW44" i="1"/>
  <c r="DX44" i="1" s="1"/>
  <c r="DS44" i="1"/>
  <c r="DY44" i="1"/>
  <c r="ET48" i="1"/>
  <c r="EV48" i="1"/>
  <c r="FB48" i="1" s="1"/>
  <c r="EO48" i="1"/>
  <c r="EQ48" i="1"/>
  <c r="ER48" i="1"/>
  <c r="DG47" i="1"/>
  <c r="DJ46" i="1"/>
  <c r="DN46" i="1"/>
  <c r="EN47" i="1"/>
  <c r="EJ47" i="1" s="1"/>
  <c r="EG47" i="1" s="1"/>
  <c r="EF47" i="1" s="1"/>
  <c r="EY47" i="1"/>
  <c r="EZ47" i="1" s="1"/>
  <c r="EW47" i="1"/>
  <c r="EX47" i="1" s="1"/>
  <c r="EU47" i="1"/>
  <c r="FA47" i="1"/>
  <c r="ES47" i="1"/>
  <c r="FW45" i="1"/>
  <c r="GA45" i="1"/>
  <c r="GG45" i="1" s="1"/>
  <c r="FS45" i="1" s="1"/>
  <c r="FO45" i="1" s="1"/>
  <c r="FL45" i="1" s="1"/>
  <c r="FK45" i="1" s="1"/>
  <c r="FT45" i="1"/>
  <c r="FV45" i="1"/>
  <c r="FY45" i="1"/>
  <c r="DR45" i="1"/>
  <c r="DM45" i="1"/>
  <c r="DT45" i="1"/>
  <c r="DZ45" i="1" s="1"/>
  <c r="DP45" i="1"/>
  <c r="DO45" i="1"/>
  <c r="CE47" i="1"/>
  <c r="CB48" i="1"/>
  <c r="CI47" i="1"/>
  <c r="EL49" i="1"/>
  <c r="EI50" i="1"/>
  <c r="EP49" i="1"/>
  <c r="CM46" i="1"/>
  <c r="CH46" i="1"/>
  <c r="CO46" i="1"/>
  <c r="CU46" i="1" s="1"/>
  <c r="CJ46" i="1"/>
  <c r="CK46" i="1"/>
  <c r="FN47" i="1"/>
  <c r="FQ46" i="1"/>
  <c r="FU46" i="1"/>
  <c r="CR45" i="1"/>
  <c r="CS45" i="1" s="1"/>
  <c r="CN45" i="1"/>
  <c r="CG45" i="1"/>
  <c r="CC45" i="1" s="1"/>
  <c r="BZ45" i="1" s="1"/>
  <c r="BY45" i="1" s="1"/>
  <c r="CT45" i="1"/>
  <c r="CP45" i="1"/>
  <c r="CQ45" i="1" s="1"/>
  <c r="CL45" i="1"/>
  <c r="GD44" i="1"/>
  <c r="GE44" i="1" s="1"/>
  <c r="FX44" i="1"/>
  <c r="GB44" i="1"/>
  <c r="GC44" i="1" s="1"/>
  <c r="GF44" i="1"/>
  <c r="FZ44" i="1"/>
  <c r="DU165" i="1" l="1"/>
  <c r="DV165" i="1" s="1"/>
  <c r="DS165" i="1"/>
  <c r="DL165" i="1"/>
  <c r="DH165" i="1" s="1"/>
  <c r="DE165" i="1" s="1"/>
  <c r="DD165" i="1" s="1"/>
  <c r="DW165" i="1"/>
  <c r="DX165" i="1" s="1"/>
  <c r="DQ165" i="1"/>
  <c r="DY165" i="1"/>
  <c r="FQ167" i="1"/>
  <c r="FU167" i="1"/>
  <c r="FN168" i="1"/>
  <c r="FW288" i="1"/>
  <c r="FV288" i="1"/>
  <c r="FY288" i="1"/>
  <c r="FT288" i="1"/>
  <c r="GA288" i="1"/>
  <c r="GG288" i="1" s="1"/>
  <c r="FS288" i="1" s="1"/>
  <c r="FO288" i="1" s="1"/>
  <c r="FL288" i="1" s="1"/>
  <c r="FK288" i="1" s="1"/>
  <c r="FV166" i="1"/>
  <c r="FW166" i="1"/>
  <c r="FY166" i="1"/>
  <c r="FT166" i="1"/>
  <c r="GA166" i="1"/>
  <c r="GG166" i="1" s="1"/>
  <c r="FS166" i="1" s="1"/>
  <c r="FO166" i="1" s="1"/>
  <c r="FL166" i="1" s="1"/>
  <c r="FK166" i="1" s="1"/>
  <c r="DG168" i="1"/>
  <c r="DJ167" i="1"/>
  <c r="DN167" i="1"/>
  <c r="DM166" i="1"/>
  <c r="DT166" i="1"/>
  <c r="DZ166" i="1" s="1"/>
  <c r="DO166" i="1"/>
  <c r="DP166" i="1"/>
  <c r="DR166" i="1"/>
  <c r="DU286" i="1"/>
  <c r="DV286" i="1" s="1"/>
  <c r="DW286" i="1"/>
  <c r="DX286" i="1" s="1"/>
  <c r="DQ286" i="1"/>
  <c r="DY286" i="1"/>
  <c r="DS286" i="1"/>
  <c r="DL286" i="1"/>
  <c r="DH286" i="1" s="1"/>
  <c r="DE286" i="1" s="1"/>
  <c r="DD286" i="1" s="1"/>
  <c r="FQ289" i="1"/>
  <c r="FU289" i="1"/>
  <c r="FZ287" i="1"/>
  <c r="GB287" i="1"/>
  <c r="GC287" i="1" s="1"/>
  <c r="FX287" i="1"/>
  <c r="GF287" i="1"/>
  <c r="GD287" i="1"/>
  <c r="GE287" i="1" s="1"/>
  <c r="GD165" i="1"/>
  <c r="GE165" i="1" s="1"/>
  <c r="GF165" i="1"/>
  <c r="GB165" i="1"/>
  <c r="GC165" i="1" s="1"/>
  <c r="FX165" i="1"/>
  <c r="FZ165" i="1"/>
  <c r="DJ288" i="1"/>
  <c r="DN288" i="1"/>
  <c r="DR287" i="1"/>
  <c r="DM287" i="1"/>
  <c r="DP287" i="1"/>
  <c r="DO287" i="1"/>
  <c r="DT287" i="1"/>
  <c r="DZ287" i="1" s="1"/>
  <c r="CO289" i="1"/>
  <c r="CU289" i="1" s="1"/>
  <c r="CM289" i="1"/>
  <c r="CK289" i="1"/>
  <c r="CJ289" i="1"/>
  <c r="CH289" i="1"/>
  <c r="EW288" i="1"/>
  <c r="EX288" i="1" s="1"/>
  <c r="EN288" i="1"/>
  <c r="EJ288" i="1" s="1"/>
  <c r="EG288" i="1" s="1"/>
  <c r="EF288" i="1" s="1"/>
  <c r="EU288" i="1"/>
  <c r="FA288" i="1"/>
  <c r="ES288" i="1"/>
  <c r="EY288" i="1"/>
  <c r="EZ288" i="1" s="1"/>
  <c r="CB291" i="1"/>
  <c r="CI290" i="1"/>
  <c r="CE290" i="1"/>
  <c r="ET289" i="1"/>
  <c r="ER289" i="1"/>
  <c r="EQ289" i="1"/>
  <c r="EO289" i="1"/>
  <c r="EV289" i="1"/>
  <c r="FB289" i="1" s="1"/>
  <c r="CR288" i="1"/>
  <c r="CS288" i="1" s="1"/>
  <c r="CP288" i="1"/>
  <c r="CQ288" i="1" s="1"/>
  <c r="CG288" i="1"/>
  <c r="CC288" i="1" s="1"/>
  <c r="BZ288" i="1" s="1"/>
  <c r="BY288" i="1" s="1"/>
  <c r="CN288" i="1"/>
  <c r="CT288" i="1"/>
  <c r="CL288" i="1"/>
  <c r="EP290" i="1"/>
  <c r="EI291" i="1"/>
  <c r="EL290" i="1"/>
  <c r="FN290" i="1"/>
  <c r="DG289" i="1"/>
  <c r="CB172" i="1"/>
  <c r="CE171" i="1"/>
  <c r="CI171" i="1"/>
  <c r="EP170" i="1"/>
  <c r="EI171" i="1"/>
  <c r="EL170" i="1"/>
  <c r="CK170" i="1"/>
  <c r="CJ170" i="1"/>
  <c r="CH170" i="1"/>
  <c r="CO170" i="1"/>
  <c r="CU170" i="1" s="1"/>
  <c r="CM170" i="1"/>
  <c r="CP169" i="1"/>
  <c r="CQ169" i="1" s="1"/>
  <c r="CG169" i="1"/>
  <c r="CC169" i="1" s="1"/>
  <c r="BZ169" i="1" s="1"/>
  <c r="BY169" i="1" s="1"/>
  <c r="CN169" i="1"/>
  <c r="CT169" i="1"/>
  <c r="CL169" i="1"/>
  <c r="CR169" i="1"/>
  <c r="CS169" i="1" s="1"/>
  <c r="ET169" i="1"/>
  <c r="ER169" i="1"/>
  <c r="EQ169" i="1"/>
  <c r="EO169" i="1"/>
  <c r="EV169" i="1"/>
  <c r="FB169" i="1" s="1"/>
  <c r="EY168" i="1"/>
  <c r="EZ168" i="1" s="1"/>
  <c r="EW168" i="1"/>
  <c r="EX168" i="1" s="1"/>
  <c r="EN168" i="1"/>
  <c r="EJ168" i="1" s="1"/>
  <c r="EG168" i="1" s="1"/>
  <c r="EF168" i="1" s="1"/>
  <c r="EU168" i="1"/>
  <c r="FA168" i="1"/>
  <c r="ES168" i="1"/>
  <c r="CE48" i="1"/>
  <c r="CB49" i="1"/>
  <c r="CI48" i="1"/>
  <c r="GF45" i="1"/>
  <c r="FZ45" i="1"/>
  <c r="FX45" i="1"/>
  <c r="GD45" i="1"/>
  <c r="GE45" i="1" s="1"/>
  <c r="GB45" i="1"/>
  <c r="GC45" i="1" s="1"/>
  <c r="DT46" i="1"/>
  <c r="DZ46" i="1" s="1"/>
  <c r="DR46" i="1"/>
  <c r="DM46" i="1"/>
  <c r="DP46" i="1"/>
  <c r="DO46" i="1"/>
  <c r="CL46" i="1"/>
  <c r="CT46" i="1"/>
  <c r="CP46" i="1"/>
  <c r="CQ46" i="1" s="1"/>
  <c r="CR46" i="1"/>
  <c r="CS46" i="1" s="1"/>
  <c r="CG46" i="1"/>
  <c r="CC46" i="1" s="1"/>
  <c r="BZ46" i="1" s="1"/>
  <c r="BY46" i="1" s="1"/>
  <c r="CN46" i="1"/>
  <c r="DJ47" i="1"/>
  <c r="DG48" i="1"/>
  <c r="DN47" i="1"/>
  <c r="FW46" i="1"/>
  <c r="GA46" i="1"/>
  <c r="GG46" i="1" s="1"/>
  <c r="FS46" i="1" s="1"/>
  <c r="FO46" i="1" s="1"/>
  <c r="FL46" i="1" s="1"/>
  <c r="FK46" i="1" s="1"/>
  <c r="FY46" i="1"/>
  <c r="FV46" i="1"/>
  <c r="FT46" i="1"/>
  <c r="EI51" i="1"/>
  <c r="EL50" i="1"/>
  <c r="EP50" i="1"/>
  <c r="DU45" i="1"/>
  <c r="DV45" i="1" s="1"/>
  <c r="DW45" i="1"/>
  <c r="DX45" i="1" s="1"/>
  <c r="DL45" i="1"/>
  <c r="DH45" i="1" s="1"/>
  <c r="DE45" i="1" s="1"/>
  <c r="DD45" i="1" s="1"/>
  <c r="DQ45" i="1"/>
  <c r="DY45" i="1"/>
  <c r="DS45" i="1"/>
  <c r="EO49" i="1"/>
  <c r="ER49" i="1"/>
  <c r="EV49" i="1"/>
  <c r="FB49" i="1" s="1"/>
  <c r="ET49" i="1"/>
  <c r="EQ49" i="1"/>
  <c r="FN48" i="1"/>
  <c r="FQ47" i="1"/>
  <c r="FU47" i="1"/>
  <c r="CM47" i="1"/>
  <c r="CJ47" i="1"/>
  <c r="CK47" i="1"/>
  <c r="CO47" i="1"/>
  <c r="CU47" i="1" s="1"/>
  <c r="CH47" i="1"/>
  <c r="EY48" i="1"/>
  <c r="EZ48" i="1" s="1"/>
  <c r="ES48" i="1"/>
  <c r="FA48" i="1"/>
  <c r="EU48" i="1"/>
  <c r="EN48" i="1"/>
  <c r="EJ48" i="1" s="1"/>
  <c r="EG48" i="1" s="1"/>
  <c r="EF48" i="1" s="1"/>
  <c r="EW48" i="1"/>
  <c r="EX48" i="1" s="1"/>
  <c r="FQ290" i="1" l="1"/>
  <c r="FU290" i="1"/>
  <c r="FW167" i="1"/>
  <c r="FY167" i="1"/>
  <c r="FV167" i="1"/>
  <c r="FT167" i="1"/>
  <c r="GA167" i="1"/>
  <c r="GG167" i="1" s="1"/>
  <c r="FS167" i="1" s="1"/>
  <c r="FO167" i="1" s="1"/>
  <c r="FL167" i="1" s="1"/>
  <c r="FK167" i="1" s="1"/>
  <c r="DO288" i="1"/>
  <c r="DM288" i="1"/>
  <c r="DP288" i="1"/>
  <c r="DR288" i="1"/>
  <c r="DT288" i="1"/>
  <c r="DZ288" i="1" s="1"/>
  <c r="DY166" i="1"/>
  <c r="DL166" i="1"/>
  <c r="DH166" i="1" s="1"/>
  <c r="DE166" i="1" s="1"/>
  <c r="DD166" i="1" s="1"/>
  <c r="DQ166" i="1"/>
  <c r="DS166" i="1"/>
  <c r="DU166" i="1"/>
  <c r="DV166" i="1" s="1"/>
  <c r="DW166" i="1"/>
  <c r="DX166" i="1" s="1"/>
  <c r="DR167" i="1"/>
  <c r="DM167" i="1"/>
  <c r="DP167" i="1"/>
  <c r="DT167" i="1"/>
  <c r="DZ167" i="1" s="1"/>
  <c r="DO167" i="1"/>
  <c r="GB288" i="1"/>
  <c r="GC288" i="1" s="1"/>
  <c r="GF288" i="1"/>
  <c r="FX288" i="1"/>
  <c r="GD288" i="1"/>
  <c r="GE288" i="1" s="1"/>
  <c r="FZ288" i="1"/>
  <c r="DG169" i="1"/>
  <c r="DN168" i="1"/>
  <c r="DJ168" i="1"/>
  <c r="FT289" i="1"/>
  <c r="FV289" i="1"/>
  <c r="FW289" i="1"/>
  <c r="FY289" i="1"/>
  <c r="GA289" i="1"/>
  <c r="GG289" i="1" s="1"/>
  <c r="FS289" i="1" s="1"/>
  <c r="FO289" i="1" s="1"/>
  <c r="FL289" i="1" s="1"/>
  <c r="FK289" i="1" s="1"/>
  <c r="DJ289" i="1"/>
  <c r="DN289" i="1"/>
  <c r="FX166" i="1"/>
  <c r="GD166" i="1"/>
  <c r="GE166" i="1" s="1"/>
  <c r="GB166" i="1"/>
  <c r="GC166" i="1" s="1"/>
  <c r="GF166" i="1"/>
  <c r="FZ166" i="1"/>
  <c r="DU287" i="1"/>
  <c r="DV287" i="1" s="1"/>
  <c r="DW287" i="1"/>
  <c r="DX287" i="1" s="1"/>
  <c r="DQ287" i="1"/>
  <c r="DY287" i="1"/>
  <c r="DL287" i="1"/>
  <c r="DH287" i="1" s="1"/>
  <c r="DE287" i="1" s="1"/>
  <c r="DD287" i="1" s="1"/>
  <c r="DS287" i="1"/>
  <c r="FQ168" i="1"/>
  <c r="FU168" i="1"/>
  <c r="FN169" i="1"/>
  <c r="CM290" i="1"/>
  <c r="CK290" i="1"/>
  <c r="CJ290" i="1"/>
  <c r="CH290" i="1"/>
  <c r="CO290" i="1"/>
  <c r="CU290" i="1" s="1"/>
  <c r="CI291" i="1"/>
  <c r="CB292" i="1"/>
  <c r="CE291" i="1"/>
  <c r="FN291" i="1"/>
  <c r="CG289" i="1"/>
  <c r="CC289" i="1" s="1"/>
  <c r="BZ289" i="1" s="1"/>
  <c r="BY289" i="1" s="1"/>
  <c r="CN289" i="1"/>
  <c r="CT289" i="1"/>
  <c r="CL289" i="1"/>
  <c r="CR289" i="1"/>
  <c r="CS289" i="1" s="1"/>
  <c r="CP289" i="1"/>
  <c r="CQ289" i="1" s="1"/>
  <c r="EI292" i="1"/>
  <c r="EL291" i="1"/>
  <c r="EP291" i="1"/>
  <c r="DG290" i="1"/>
  <c r="ER290" i="1"/>
  <c r="EQ290" i="1"/>
  <c r="EO290" i="1"/>
  <c r="ET290" i="1"/>
  <c r="EV290" i="1"/>
  <c r="FB290" i="1" s="1"/>
  <c r="FA289" i="1"/>
  <c r="ES289" i="1"/>
  <c r="EY289" i="1"/>
  <c r="EZ289" i="1" s="1"/>
  <c r="EW289" i="1"/>
  <c r="EX289" i="1" s="1"/>
  <c r="EN289" i="1"/>
  <c r="EJ289" i="1" s="1"/>
  <c r="EG289" i="1" s="1"/>
  <c r="EF289" i="1" s="1"/>
  <c r="EU289" i="1"/>
  <c r="EL171" i="1"/>
  <c r="EP171" i="1"/>
  <c r="EI172" i="1"/>
  <c r="EQ170" i="1"/>
  <c r="EO170" i="1"/>
  <c r="EV170" i="1"/>
  <c r="FB170" i="1" s="1"/>
  <c r="ET170" i="1"/>
  <c r="ER170" i="1"/>
  <c r="CH171" i="1"/>
  <c r="CO171" i="1"/>
  <c r="CU171" i="1" s="1"/>
  <c r="CM171" i="1"/>
  <c r="CK171" i="1"/>
  <c r="CJ171" i="1"/>
  <c r="EU169" i="1"/>
  <c r="FA169" i="1"/>
  <c r="ES169" i="1"/>
  <c r="EY169" i="1"/>
  <c r="EZ169" i="1" s="1"/>
  <c r="EW169" i="1"/>
  <c r="EX169" i="1" s="1"/>
  <c r="EN169" i="1"/>
  <c r="EJ169" i="1" s="1"/>
  <c r="EG169" i="1" s="1"/>
  <c r="EF169" i="1" s="1"/>
  <c r="CI172" i="1"/>
  <c r="CB173" i="1"/>
  <c r="CE172" i="1"/>
  <c r="CT170" i="1"/>
  <c r="CL170" i="1"/>
  <c r="CR170" i="1"/>
  <c r="CS170" i="1" s="1"/>
  <c r="CP170" i="1"/>
  <c r="CQ170" i="1" s="1"/>
  <c r="CG170" i="1"/>
  <c r="CC170" i="1" s="1"/>
  <c r="BZ170" i="1" s="1"/>
  <c r="BY170" i="1" s="1"/>
  <c r="CN170" i="1"/>
  <c r="EV50" i="1"/>
  <c r="FB50" i="1" s="1"/>
  <c r="EQ50" i="1"/>
  <c r="ER50" i="1"/>
  <c r="EO50" i="1"/>
  <c r="ET50" i="1"/>
  <c r="DM47" i="1"/>
  <c r="DO47" i="1"/>
  <c r="DR47" i="1"/>
  <c r="DT47" i="1"/>
  <c r="DZ47" i="1" s="1"/>
  <c r="DP47" i="1"/>
  <c r="EU49" i="1"/>
  <c r="ES49" i="1"/>
  <c r="EY49" i="1"/>
  <c r="EZ49" i="1" s="1"/>
  <c r="EN49" i="1"/>
  <c r="EJ49" i="1" s="1"/>
  <c r="EG49" i="1" s="1"/>
  <c r="EF49" i="1" s="1"/>
  <c r="FA49" i="1"/>
  <c r="EW49" i="1"/>
  <c r="EX49" i="1" s="1"/>
  <c r="DG49" i="1"/>
  <c r="DJ48" i="1"/>
  <c r="DN48" i="1"/>
  <c r="FT47" i="1"/>
  <c r="FV47" i="1"/>
  <c r="FW47" i="1"/>
  <c r="FY47" i="1"/>
  <c r="GA47" i="1"/>
  <c r="GG47" i="1" s="1"/>
  <c r="FS47" i="1" s="1"/>
  <c r="FO47" i="1" s="1"/>
  <c r="FL47" i="1" s="1"/>
  <c r="FK47" i="1" s="1"/>
  <c r="EL51" i="1"/>
  <c r="EI52" i="1"/>
  <c r="EP51" i="1"/>
  <c r="GB46" i="1"/>
  <c r="GC46" i="1" s="1"/>
  <c r="GF46" i="1"/>
  <c r="FZ46" i="1"/>
  <c r="FX46" i="1"/>
  <c r="GD46" i="1"/>
  <c r="GE46" i="1" s="1"/>
  <c r="DY46" i="1"/>
  <c r="DS46" i="1"/>
  <c r="DL46" i="1"/>
  <c r="DH46" i="1" s="1"/>
  <c r="DE46" i="1" s="1"/>
  <c r="DD46" i="1" s="1"/>
  <c r="DU46" i="1"/>
  <c r="DV46" i="1" s="1"/>
  <c r="DW46" i="1"/>
  <c r="DX46" i="1" s="1"/>
  <c r="DQ46" i="1"/>
  <c r="CK48" i="1"/>
  <c r="CO48" i="1"/>
  <c r="CU48" i="1" s="1"/>
  <c r="CH48" i="1"/>
  <c r="CM48" i="1"/>
  <c r="CJ48" i="1"/>
  <c r="FN49" i="1"/>
  <c r="FQ48" i="1"/>
  <c r="FU48" i="1"/>
  <c r="CE49" i="1"/>
  <c r="CB50" i="1"/>
  <c r="CI49" i="1"/>
  <c r="CT47" i="1"/>
  <c r="CR47" i="1"/>
  <c r="CS47" i="1" s="1"/>
  <c r="CG47" i="1"/>
  <c r="CC47" i="1" s="1"/>
  <c r="BZ47" i="1" s="1"/>
  <c r="BY47" i="1" s="1"/>
  <c r="CP47" i="1"/>
  <c r="CQ47" i="1" s="1"/>
  <c r="CN47" i="1"/>
  <c r="CL47" i="1"/>
  <c r="DJ290" i="1" l="1"/>
  <c r="DN290" i="1"/>
  <c r="GF289" i="1"/>
  <c r="GD289" i="1"/>
  <c r="GE289" i="1" s="1"/>
  <c r="GB289" i="1"/>
  <c r="GC289" i="1" s="1"/>
  <c r="FX289" i="1"/>
  <c r="FZ289" i="1"/>
  <c r="DM289" i="1"/>
  <c r="DO289" i="1"/>
  <c r="DP289" i="1"/>
  <c r="DR289" i="1"/>
  <c r="DT289" i="1"/>
  <c r="DZ289" i="1" s="1"/>
  <c r="DP168" i="1"/>
  <c r="DT168" i="1"/>
  <c r="DZ168" i="1" s="1"/>
  <c r="DM168" i="1"/>
  <c r="DR168" i="1"/>
  <c r="DO168" i="1"/>
  <c r="FX167" i="1"/>
  <c r="GF167" i="1"/>
  <c r="FZ167" i="1"/>
  <c r="GD167" i="1"/>
  <c r="GE167" i="1" s="1"/>
  <c r="GB167" i="1"/>
  <c r="GC167" i="1" s="1"/>
  <c r="DG170" i="1"/>
  <c r="DN169" i="1"/>
  <c r="DJ169" i="1"/>
  <c r="FQ291" i="1"/>
  <c r="FU291" i="1"/>
  <c r="FQ169" i="1"/>
  <c r="FU169" i="1"/>
  <c r="FN170" i="1"/>
  <c r="DU167" i="1"/>
  <c r="DV167" i="1" s="1"/>
  <c r="DQ167" i="1"/>
  <c r="DL167" i="1"/>
  <c r="DH167" i="1" s="1"/>
  <c r="DE167" i="1" s="1"/>
  <c r="DD167" i="1" s="1"/>
  <c r="DY167" i="1"/>
  <c r="DW167" i="1"/>
  <c r="DX167" i="1" s="1"/>
  <c r="DS167" i="1"/>
  <c r="FY168" i="1"/>
  <c r="FV168" i="1"/>
  <c r="FW168" i="1"/>
  <c r="FT168" i="1"/>
  <c r="GA168" i="1"/>
  <c r="GG168" i="1" s="1"/>
  <c r="FS168" i="1" s="1"/>
  <c r="FO168" i="1" s="1"/>
  <c r="FL168" i="1" s="1"/>
  <c r="FK168" i="1" s="1"/>
  <c r="FT290" i="1"/>
  <c r="FY290" i="1"/>
  <c r="FV290" i="1"/>
  <c r="FW290" i="1"/>
  <c r="GA290" i="1"/>
  <c r="GG290" i="1" s="1"/>
  <c r="FS290" i="1" s="1"/>
  <c r="FO290" i="1" s="1"/>
  <c r="FL290" i="1" s="1"/>
  <c r="FK290" i="1" s="1"/>
  <c r="DW288" i="1"/>
  <c r="DX288" i="1" s="1"/>
  <c r="DL288" i="1"/>
  <c r="DH288" i="1" s="1"/>
  <c r="DE288" i="1" s="1"/>
  <c r="DD288" i="1" s="1"/>
  <c r="DQ288" i="1"/>
  <c r="DY288" i="1"/>
  <c r="DS288" i="1"/>
  <c r="DU288" i="1"/>
  <c r="DV288" i="1" s="1"/>
  <c r="EY290" i="1"/>
  <c r="EZ290" i="1" s="1"/>
  <c r="EW290" i="1"/>
  <c r="EX290" i="1" s="1"/>
  <c r="EU290" i="1"/>
  <c r="ES290" i="1"/>
  <c r="EN290" i="1"/>
  <c r="EJ290" i="1" s="1"/>
  <c r="EG290" i="1" s="1"/>
  <c r="EF290" i="1" s="1"/>
  <c r="FA290" i="1"/>
  <c r="DG291" i="1"/>
  <c r="FN292" i="1"/>
  <c r="EV291" i="1"/>
  <c r="FB291" i="1" s="1"/>
  <c r="ET291" i="1"/>
  <c r="ER291" i="1"/>
  <c r="EQ291" i="1"/>
  <c r="EO291" i="1"/>
  <c r="CB293" i="1"/>
  <c r="CI292" i="1"/>
  <c r="CE292" i="1"/>
  <c r="CH291" i="1"/>
  <c r="CK291" i="1"/>
  <c r="CO291" i="1"/>
  <c r="CU291" i="1" s="1"/>
  <c r="CM291" i="1"/>
  <c r="CJ291" i="1"/>
  <c r="EI293" i="1"/>
  <c r="EP292" i="1"/>
  <c r="EL292" i="1"/>
  <c r="CT290" i="1"/>
  <c r="CL290" i="1"/>
  <c r="CR290" i="1"/>
  <c r="CS290" i="1" s="1"/>
  <c r="CG290" i="1"/>
  <c r="CC290" i="1" s="1"/>
  <c r="BZ290" i="1" s="1"/>
  <c r="BY290" i="1" s="1"/>
  <c r="CP290" i="1"/>
  <c r="CQ290" i="1" s="1"/>
  <c r="CN290" i="1"/>
  <c r="EP172" i="1"/>
  <c r="EI173" i="1"/>
  <c r="EL172" i="1"/>
  <c r="EY170" i="1"/>
  <c r="EZ170" i="1" s="1"/>
  <c r="EW170" i="1"/>
  <c r="EX170" i="1" s="1"/>
  <c r="EN170" i="1"/>
  <c r="EJ170" i="1" s="1"/>
  <c r="EG170" i="1" s="1"/>
  <c r="EF170" i="1" s="1"/>
  <c r="EU170" i="1"/>
  <c r="FA170" i="1"/>
  <c r="ES170" i="1"/>
  <c r="ET171" i="1"/>
  <c r="ER171" i="1"/>
  <c r="EQ171" i="1"/>
  <c r="EO171" i="1"/>
  <c r="EV171" i="1"/>
  <c r="FB171" i="1" s="1"/>
  <c r="CB174" i="1"/>
  <c r="CI173" i="1"/>
  <c r="CE173" i="1"/>
  <c r="CK172" i="1"/>
  <c r="CJ172" i="1"/>
  <c r="CH172" i="1"/>
  <c r="CO172" i="1"/>
  <c r="CU172" i="1" s="1"/>
  <c r="CM172" i="1"/>
  <c r="CP171" i="1"/>
  <c r="CQ171" i="1" s="1"/>
  <c r="CG171" i="1"/>
  <c r="CC171" i="1" s="1"/>
  <c r="BZ171" i="1" s="1"/>
  <c r="BY171" i="1" s="1"/>
  <c r="CN171" i="1"/>
  <c r="CT171" i="1"/>
  <c r="CL171" i="1"/>
  <c r="CR171" i="1"/>
  <c r="CS171" i="1" s="1"/>
  <c r="CB51" i="1"/>
  <c r="CE50" i="1"/>
  <c r="CI50" i="1"/>
  <c r="DU47" i="1"/>
  <c r="DV47" i="1" s="1"/>
  <c r="DQ47" i="1"/>
  <c r="DW47" i="1"/>
  <c r="DX47" i="1" s="1"/>
  <c r="DL47" i="1"/>
  <c r="DH47" i="1" s="1"/>
  <c r="DE47" i="1" s="1"/>
  <c r="DD47" i="1" s="1"/>
  <c r="DS47" i="1"/>
  <c r="DY47" i="1"/>
  <c r="FT48" i="1"/>
  <c r="FW48" i="1"/>
  <c r="GA48" i="1"/>
  <c r="GG48" i="1" s="1"/>
  <c r="FS48" i="1" s="1"/>
  <c r="FO48" i="1" s="1"/>
  <c r="FL48" i="1" s="1"/>
  <c r="FK48" i="1" s="1"/>
  <c r="FV48" i="1"/>
  <c r="FY48" i="1"/>
  <c r="FN50" i="1"/>
  <c r="FQ49" i="1"/>
  <c r="FU49" i="1"/>
  <c r="GB47" i="1"/>
  <c r="GC47" i="1" s="1"/>
  <c r="FZ47" i="1"/>
  <c r="GF47" i="1"/>
  <c r="GD47" i="1"/>
  <c r="GE47" i="1" s="1"/>
  <c r="FX47" i="1"/>
  <c r="EU50" i="1"/>
  <c r="FA50" i="1"/>
  <c r="EW50" i="1"/>
  <c r="EX50" i="1" s="1"/>
  <c r="EY50" i="1"/>
  <c r="EZ50" i="1" s="1"/>
  <c r="EN50" i="1"/>
  <c r="EJ50" i="1" s="1"/>
  <c r="EG50" i="1" s="1"/>
  <c r="EF50" i="1" s="1"/>
  <c r="ES50" i="1"/>
  <c r="EQ51" i="1"/>
  <c r="ET51" i="1"/>
  <c r="EO51" i="1"/>
  <c r="ER51" i="1"/>
  <c r="EV51" i="1"/>
  <c r="FB51" i="1" s="1"/>
  <c r="DO48" i="1"/>
  <c r="DP48" i="1"/>
  <c r="DR48" i="1"/>
  <c r="DM48" i="1"/>
  <c r="DT48" i="1"/>
  <c r="DZ48" i="1" s="1"/>
  <c r="EI53" i="1"/>
  <c r="EL52" i="1"/>
  <c r="EP52" i="1"/>
  <c r="CK49" i="1"/>
  <c r="CJ49" i="1"/>
  <c r="CO49" i="1"/>
  <c r="CU49" i="1" s="1"/>
  <c r="CH49" i="1"/>
  <c r="CM49" i="1"/>
  <c r="CT48" i="1"/>
  <c r="CP48" i="1"/>
  <c r="CQ48" i="1" s="1"/>
  <c r="CL48" i="1"/>
  <c r="CR48" i="1"/>
  <c r="CS48" i="1" s="1"/>
  <c r="CG48" i="1"/>
  <c r="CC48" i="1" s="1"/>
  <c r="BZ48" i="1" s="1"/>
  <c r="BY48" i="1" s="1"/>
  <c r="CN48" i="1"/>
  <c r="DG50" i="1"/>
  <c r="DJ49" i="1"/>
  <c r="DN49" i="1"/>
  <c r="FZ168" i="1" l="1"/>
  <c r="FX168" i="1"/>
  <c r="GF168" i="1"/>
  <c r="GD168" i="1"/>
  <c r="GE168" i="1" s="1"/>
  <c r="GB168" i="1"/>
  <c r="GC168" i="1" s="1"/>
  <c r="DP169" i="1"/>
  <c r="DR169" i="1"/>
  <c r="DT169" i="1"/>
  <c r="DZ169" i="1" s="1"/>
  <c r="DO169" i="1"/>
  <c r="DM169" i="1"/>
  <c r="DW289" i="1"/>
  <c r="DX289" i="1" s="1"/>
  <c r="DQ289" i="1"/>
  <c r="DY289" i="1"/>
  <c r="DL289" i="1"/>
  <c r="DH289" i="1" s="1"/>
  <c r="DE289" i="1" s="1"/>
  <c r="DD289" i="1" s="1"/>
  <c r="DU289" i="1"/>
  <c r="DV289" i="1" s="1"/>
  <c r="DS289" i="1"/>
  <c r="DG171" i="1"/>
  <c r="DJ170" i="1"/>
  <c r="DN170" i="1"/>
  <c r="DY168" i="1"/>
  <c r="DQ168" i="1"/>
  <c r="DS168" i="1"/>
  <c r="DL168" i="1"/>
  <c r="DH168" i="1" s="1"/>
  <c r="DE168" i="1" s="1"/>
  <c r="DD168" i="1" s="1"/>
  <c r="DU168" i="1"/>
  <c r="DV168" i="1" s="1"/>
  <c r="DW168" i="1"/>
  <c r="DX168" i="1" s="1"/>
  <c r="FQ170" i="1"/>
  <c r="FU170" i="1"/>
  <c r="FN171" i="1"/>
  <c r="FW169" i="1"/>
  <c r="FT169" i="1"/>
  <c r="FV169" i="1"/>
  <c r="FY169" i="1"/>
  <c r="GA169" i="1"/>
  <c r="GG169" i="1" s="1"/>
  <c r="FS169" i="1" s="1"/>
  <c r="FO169" i="1" s="1"/>
  <c r="FL169" i="1" s="1"/>
  <c r="FK169" i="1" s="1"/>
  <c r="FT291" i="1"/>
  <c r="FV291" i="1"/>
  <c r="FW291" i="1"/>
  <c r="FY291" i="1"/>
  <c r="GA291" i="1"/>
  <c r="GG291" i="1" s="1"/>
  <c r="FS291" i="1" s="1"/>
  <c r="FO291" i="1" s="1"/>
  <c r="FL291" i="1" s="1"/>
  <c r="FK291" i="1" s="1"/>
  <c r="FQ292" i="1"/>
  <c r="FU292" i="1"/>
  <c r="GD290" i="1"/>
  <c r="GE290" i="1" s="1"/>
  <c r="FX290" i="1"/>
  <c r="GF290" i="1"/>
  <c r="FZ290" i="1"/>
  <c r="GB290" i="1"/>
  <c r="GC290" i="1" s="1"/>
  <c r="DO290" i="1"/>
  <c r="DR290" i="1"/>
  <c r="DM290" i="1"/>
  <c r="DP290" i="1"/>
  <c r="DT290" i="1"/>
  <c r="DZ290" i="1" s="1"/>
  <c r="DJ291" i="1"/>
  <c r="DN291" i="1"/>
  <c r="FN293" i="1"/>
  <c r="CP291" i="1"/>
  <c r="CQ291" i="1" s="1"/>
  <c r="CN291" i="1"/>
  <c r="CT291" i="1"/>
  <c r="CR291" i="1"/>
  <c r="CS291" i="1" s="1"/>
  <c r="CL291" i="1"/>
  <c r="CG291" i="1"/>
  <c r="CC291" i="1" s="1"/>
  <c r="BZ291" i="1" s="1"/>
  <c r="BY291" i="1" s="1"/>
  <c r="DG292" i="1"/>
  <c r="EN291" i="1"/>
  <c r="EJ291" i="1" s="1"/>
  <c r="EG291" i="1" s="1"/>
  <c r="EF291" i="1" s="1"/>
  <c r="EU291" i="1"/>
  <c r="FA291" i="1"/>
  <c r="ES291" i="1"/>
  <c r="EY291" i="1"/>
  <c r="EZ291" i="1" s="1"/>
  <c r="EW291" i="1"/>
  <c r="EX291" i="1" s="1"/>
  <c r="ER292" i="1"/>
  <c r="EQ292" i="1"/>
  <c r="EO292" i="1"/>
  <c r="ET292" i="1"/>
  <c r="EV292" i="1"/>
  <c r="FB292" i="1" s="1"/>
  <c r="CM292" i="1"/>
  <c r="CK292" i="1"/>
  <c r="CJ292" i="1"/>
  <c r="CO292" i="1"/>
  <c r="CU292" i="1" s="1"/>
  <c r="CH292" i="1"/>
  <c r="EP293" i="1"/>
  <c r="EI294" i="1"/>
  <c r="EL293" i="1"/>
  <c r="CI293" i="1"/>
  <c r="CB294" i="1"/>
  <c r="CE293" i="1"/>
  <c r="EU171" i="1"/>
  <c r="FA171" i="1"/>
  <c r="ES171" i="1"/>
  <c r="EY171" i="1"/>
  <c r="EZ171" i="1" s="1"/>
  <c r="EW171" i="1"/>
  <c r="EX171" i="1" s="1"/>
  <c r="EN171" i="1"/>
  <c r="EJ171" i="1" s="1"/>
  <c r="EG171" i="1" s="1"/>
  <c r="EF171" i="1" s="1"/>
  <c r="CT172" i="1"/>
  <c r="CL172" i="1"/>
  <c r="CR172" i="1"/>
  <c r="CS172" i="1" s="1"/>
  <c r="CP172" i="1"/>
  <c r="CQ172" i="1" s="1"/>
  <c r="CG172" i="1"/>
  <c r="CC172" i="1" s="1"/>
  <c r="BZ172" i="1" s="1"/>
  <c r="BY172" i="1" s="1"/>
  <c r="CN172" i="1"/>
  <c r="CE174" i="1"/>
  <c r="CB175" i="1"/>
  <c r="CI174" i="1"/>
  <c r="CJ173" i="1"/>
  <c r="CH173" i="1"/>
  <c r="CO173" i="1"/>
  <c r="CU173" i="1" s="1"/>
  <c r="CM173" i="1"/>
  <c r="CK173" i="1"/>
  <c r="EI174" i="1"/>
  <c r="EL173" i="1"/>
  <c r="EP173" i="1"/>
  <c r="ER172" i="1"/>
  <c r="EQ172" i="1"/>
  <c r="EO172" i="1"/>
  <c r="EV172" i="1"/>
  <c r="FB172" i="1" s="1"/>
  <c r="ET172" i="1"/>
  <c r="DT49" i="1"/>
  <c r="DZ49" i="1" s="1"/>
  <c r="DR49" i="1"/>
  <c r="DM49" i="1"/>
  <c r="DP49" i="1"/>
  <c r="DO49" i="1"/>
  <c r="EL53" i="1"/>
  <c r="EI54" i="1"/>
  <c r="EP53" i="1"/>
  <c r="FN51" i="1"/>
  <c r="FQ50" i="1"/>
  <c r="FU50" i="1"/>
  <c r="EY51" i="1"/>
  <c r="EZ51" i="1" s="1"/>
  <c r="EW51" i="1"/>
  <c r="EX51" i="1" s="1"/>
  <c r="EN51" i="1"/>
  <c r="EJ51" i="1" s="1"/>
  <c r="EG51" i="1" s="1"/>
  <c r="EF51" i="1" s="1"/>
  <c r="ES51" i="1"/>
  <c r="EU51" i="1"/>
  <c r="FA51" i="1"/>
  <c r="DG51" i="1"/>
  <c r="DJ50" i="1"/>
  <c r="DN50" i="1"/>
  <c r="CG49" i="1"/>
  <c r="CC49" i="1" s="1"/>
  <c r="BZ49" i="1" s="1"/>
  <c r="BY49" i="1" s="1"/>
  <c r="CT49" i="1"/>
  <c r="CP49" i="1"/>
  <c r="CQ49" i="1" s="1"/>
  <c r="CL49" i="1"/>
  <c r="CN49" i="1"/>
  <c r="CR49" i="1"/>
  <c r="CS49" i="1" s="1"/>
  <c r="DU48" i="1"/>
  <c r="DV48" i="1" s="1"/>
  <c r="DW48" i="1"/>
  <c r="DX48" i="1" s="1"/>
  <c r="DQ48" i="1"/>
  <c r="DS48" i="1"/>
  <c r="DY48" i="1"/>
  <c r="DL48" i="1"/>
  <c r="DH48" i="1" s="1"/>
  <c r="DE48" i="1" s="1"/>
  <c r="DD48" i="1" s="1"/>
  <c r="CO50" i="1"/>
  <c r="CU50" i="1" s="1"/>
  <c r="CH50" i="1"/>
  <c r="CJ50" i="1"/>
  <c r="CM50" i="1"/>
  <c r="CK50" i="1"/>
  <c r="GB48" i="1"/>
  <c r="GC48" i="1" s="1"/>
  <c r="GF48" i="1"/>
  <c r="GD48" i="1"/>
  <c r="GE48" i="1" s="1"/>
  <c r="FX48" i="1"/>
  <c r="FZ48" i="1"/>
  <c r="ER52" i="1"/>
  <c r="EV52" i="1"/>
  <c r="FB52" i="1" s="1"/>
  <c r="ET52" i="1"/>
  <c r="EO52" i="1"/>
  <c r="EQ52" i="1"/>
  <c r="FW49" i="1"/>
  <c r="FV49" i="1"/>
  <c r="FT49" i="1"/>
  <c r="FY49" i="1"/>
  <c r="GA49" i="1"/>
  <c r="GG49" i="1" s="1"/>
  <c r="FS49" i="1" s="1"/>
  <c r="FO49" i="1" s="1"/>
  <c r="FL49" i="1" s="1"/>
  <c r="FK49" i="1" s="1"/>
  <c r="CB52" i="1"/>
  <c r="CE51" i="1"/>
  <c r="CI51" i="1"/>
  <c r="DU290" i="1" l="1"/>
  <c r="DV290" i="1" s="1"/>
  <c r="DW290" i="1"/>
  <c r="DX290" i="1" s="1"/>
  <c r="DY290" i="1"/>
  <c r="DQ290" i="1"/>
  <c r="DL290" i="1"/>
  <c r="DH290" i="1" s="1"/>
  <c r="DE290" i="1" s="1"/>
  <c r="DD290" i="1" s="1"/>
  <c r="DS290" i="1"/>
  <c r="FW292" i="1"/>
  <c r="FV292" i="1"/>
  <c r="FY292" i="1"/>
  <c r="FT292" i="1"/>
  <c r="GA292" i="1"/>
  <c r="GG292" i="1" s="1"/>
  <c r="FS292" i="1" s="1"/>
  <c r="FO292" i="1" s="1"/>
  <c r="FL292" i="1" s="1"/>
  <c r="FK292" i="1" s="1"/>
  <c r="FX169" i="1"/>
  <c r="GF169" i="1"/>
  <c r="GB169" i="1"/>
  <c r="GC169" i="1" s="1"/>
  <c r="FZ169" i="1"/>
  <c r="GD169" i="1"/>
  <c r="GE169" i="1" s="1"/>
  <c r="DO291" i="1"/>
  <c r="DP291" i="1"/>
  <c r="DR291" i="1"/>
  <c r="DM291" i="1"/>
  <c r="DT291" i="1"/>
  <c r="DZ291" i="1" s="1"/>
  <c r="FQ171" i="1"/>
  <c r="FU171" i="1"/>
  <c r="FN172" i="1"/>
  <c r="DJ292" i="1"/>
  <c r="DN292" i="1"/>
  <c r="FQ293" i="1"/>
  <c r="FU293" i="1"/>
  <c r="FW170" i="1"/>
  <c r="FT170" i="1"/>
  <c r="FV170" i="1"/>
  <c r="FY170" i="1"/>
  <c r="GA170" i="1"/>
  <c r="GG170" i="1" s="1"/>
  <c r="FS170" i="1" s="1"/>
  <c r="FO170" i="1" s="1"/>
  <c r="FL170" i="1" s="1"/>
  <c r="FK170" i="1" s="1"/>
  <c r="DR170" i="1"/>
  <c r="DM170" i="1"/>
  <c r="DT170" i="1"/>
  <c r="DZ170" i="1" s="1"/>
  <c r="DO170" i="1"/>
  <c r="DP170" i="1"/>
  <c r="GB291" i="1"/>
  <c r="GC291" i="1" s="1"/>
  <c r="GD291" i="1"/>
  <c r="GE291" i="1" s="1"/>
  <c r="FX291" i="1"/>
  <c r="GF291" i="1"/>
  <c r="FZ291" i="1"/>
  <c r="DS169" i="1"/>
  <c r="DQ169" i="1"/>
  <c r="DL169" i="1"/>
  <c r="DH169" i="1" s="1"/>
  <c r="DE169" i="1" s="1"/>
  <c r="DD169" i="1" s="1"/>
  <c r="DY169" i="1"/>
  <c r="DU169" i="1"/>
  <c r="DV169" i="1" s="1"/>
  <c r="DW169" i="1"/>
  <c r="DX169" i="1" s="1"/>
  <c r="DG172" i="1"/>
  <c r="DJ171" i="1"/>
  <c r="DN171" i="1"/>
  <c r="EV293" i="1"/>
  <c r="FB293" i="1" s="1"/>
  <c r="ET293" i="1"/>
  <c r="ER293" i="1"/>
  <c r="EQ293" i="1"/>
  <c r="EO293" i="1"/>
  <c r="EY292" i="1"/>
  <c r="EZ292" i="1" s="1"/>
  <c r="EW292" i="1"/>
  <c r="EX292" i="1" s="1"/>
  <c r="FA292" i="1"/>
  <c r="EU292" i="1"/>
  <c r="ES292" i="1"/>
  <c r="EN292" i="1"/>
  <c r="EJ292" i="1" s="1"/>
  <c r="EG292" i="1" s="1"/>
  <c r="EF292" i="1" s="1"/>
  <c r="CT292" i="1"/>
  <c r="CL292" i="1"/>
  <c r="CR292" i="1"/>
  <c r="CS292" i="1" s="1"/>
  <c r="CG292" i="1"/>
  <c r="CC292" i="1" s="1"/>
  <c r="BZ292" i="1" s="1"/>
  <c r="BY292" i="1" s="1"/>
  <c r="CP292" i="1"/>
  <c r="CQ292" i="1" s="1"/>
  <c r="CN292" i="1"/>
  <c r="EP294" i="1"/>
  <c r="EI295" i="1"/>
  <c r="EL294" i="1"/>
  <c r="CB295" i="1"/>
  <c r="CI294" i="1"/>
  <c r="CE294" i="1"/>
  <c r="CK293" i="1"/>
  <c r="CO293" i="1"/>
  <c r="CU293" i="1" s="1"/>
  <c r="CM293" i="1"/>
  <c r="CH293" i="1"/>
  <c r="CJ293" i="1"/>
  <c r="FN294" i="1"/>
  <c r="DG293" i="1"/>
  <c r="EP174" i="1"/>
  <c r="EL174" i="1"/>
  <c r="EI175" i="1"/>
  <c r="CK174" i="1"/>
  <c r="CH174" i="1"/>
  <c r="CO174" i="1"/>
  <c r="CU174" i="1" s="1"/>
  <c r="CM174" i="1"/>
  <c r="CJ174" i="1"/>
  <c r="CT173" i="1"/>
  <c r="CL173" i="1"/>
  <c r="CR173" i="1"/>
  <c r="CS173" i="1" s="1"/>
  <c r="CP173" i="1"/>
  <c r="CQ173" i="1" s="1"/>
  <c r="CG173" i="1"/>
  <c r="CC173" i="1" s="1"/>
  <c r="BZ173" i="1" s="1"/>
  <c r="BY173" i="1" s="1"/>
  <c r="CN173" i="1"/>
  <c r="CB176" i="1"/>
  <c r="CE175" i="1"/>
  <c r="CI175" i="1"/>
  <c r="EU172" i="1"/>
  <c r="FA172" i="1"/>
  <c r="ES172" i="1"/>
  <c r="EY172" i="1"/>
  <c r="EZ172" i="1" s="1"/>
  <c r="EN172" i="1"/>
  <c r="EJ172" i="1" s="1"/>
  <c r="EG172" i="1" s="1"/>
  <c r="EF172" i="1" s="1"/>
  <c r="EW172" i="1"/>
  <c r="EX172" i="1" s="1"/>
  <c r="EQ173" i="1"/>
  <c r="EO173" i="1"/>
  <c r="ET173" i="1"/>
  <c r="EV173" i="1"/>
  <c r="FB173" i="1" s="1"/>
  <c r="ER173" i="1"/>
  <c r="EO53" i="1"/>
  <c r="EV53" i="1"/>
  <c r="FB53" i="1" s="1"/>
  <c r="EQ53" i="1"/>
  <c r="ET53" i="1"/>
  <c r="ER53" i="1"/>
  <c r="CM51" i="1"/>
  <c r="CH51" i="1"/>
  <c r="CJ51" i="1"/>
  <c r="CK51" i="1"/>
  <c r="CO51" i="1"/>
  <c r="CU51" i="1" s="1"/>
  <c r="EI55" i="1"/>
  <c r="EL54" i="1"/>
  <c r="EP54" i="1"/>
  <c r="CB53" i="1"/>
  <c r="CE52" i="1"/>
  <c r="CI52" i="1"/>
  <c r="DT50" i="1"/>
  <c r="DZ50" i="1" s="1"/>
  <c r="DO50" i="1"/>
  <c r="DP50" i="1"/>
  <c r="DM50" i="1"/>
  <c r="DR50" i="1"/>
  <c r="EW52" i="1"/>
  <c r="EX52" i="1" s="1"/>
  <c r="FA52" i="1"/>
  <c r="EU52" i="1"/>
  <c r="ES52" i="1"/>
  <c r="EY52" i="1"/>
  <c r="EZ52" i="1" s="1"/>
  <c r="EN52" i="1"/>
  <c r="EJ52" i="1" s="1"/>
  <c r="EG52" i="1" s="1"/>
  <c r="EF52" i="1" s="1"/>
  <c r="FT50" i="1"/>
  <c r="FY50" i="1"/>
  <c r="FV50" i="1"/>
  <c r="FW50" i="1"/>
  <c r="GA50" i="1"/>
  <c r="GG50" i="1" s="1"/>
  <c r="FS50" i="1" s="1"/>
  <c r="FO50" i="1" s="1"/>
  <c r="FL50" i="1" s="1"/>
  <c r="FK50" i="1" s="1"/>
  <c r="DW49" i="1"/>
  <c r="DX49" i="1" s="1"/>
  <c r="DU49" i="1"/>
  <c r="DV49" i="1" s="1"/>
  <c r="DQ49" i="1"/>
  <c r="DS49" i="1"/>
  <c r="DY49" i="1"/>
  <c r="DL49" i="1"/>
  <c r="DH49" i="1" s="1"/>
  <c r="DE49" i="1" s="1"/>
  <c r="DD49" i="1" s="1"/>
  <c r="FZ49" i="1"/>
  <c r="GF49" i="1"/>
  <c r="GB49" i="1"/>
  <c r="GC49" i="1" s="1"/>
  <c r="FX49" i="1"/>
  <c r="GD49" i="1"/>
  <c r="GE49" i="1" s="1"/>
  <c r="CN50" i="1"/>
  <c r="CR50" i="1"/>
  <c r="CS50" i="1" s="1"/>
  <c r="CT50" i="1"/>
  <c r="CP50" i="1"/>
  <c r="CQ50" i="1" s="1"/>
  <c r="CG50" i="1"/>
  <c r="CC50" i="1" s="1"/>
  <c r="BZ50" i="1" s="1"/>
  <c r="BY50" i="1" s="1"/>
  <c r="CL50" i="1"/>
  <c r="DG52" i="1"/>
  <c r="DJ51" i="1"/>
  <c r="DN51" i="1"/>
  <c r="FN52" i="1"/>
  <c r="FQ51" i="1"/>
  <c r="FU51" i="1"/>
  <c r="FQ172" i="1" l="1"/>
  <c r="FU172" i="1"/>
  <c r="FN173" i="1"/>
  <c r="FY171" i="1"/>
  <c r="FV171" i="1"/>
  <c r="FT171" i="1"/>
  <c r="FW171" i="1"/>
  <c r="GA171" i="1"/>
  <c r="GG171" i="1" s="1"/>
  <c r="FS171" i="1" s="1"/>
  <c r="FO171" i="1" s="1"/>
  <c r="FL171" i="1" s="1"/>
  <c r="FK171" i="1" s="1"/>
  <c r="FZ170" i="1"/>
  <c r="GB170" i="1"/>
  <c r="GC170" i="1" s="1"/>
  <c r="GF170" i="1"/>
  <c r="GD170" i="1"/>
  <c r="GE170" i="1" s="1"/>
  <c r="FX170" i="1"/>
  <c r="DO171" i="1"/>
  <c r="DR171" i="1"/>
  <c r="DT171" i="1"/>
  <c r="DZ171" i="1" s="1"/>
  <c r="DM171" i="1"/>
  <c r="DP171" i="1"/>
  <c r="FY293" i="1"/>
  <c r="FV293" i="1"/>
  <c r="FW293" i="1"/>
  <c r="FT293" i="1"/>
  <c r="GA293" i="1"/>
  <c r="GG293" i="1" s="1"/>
  <c r="FS293" i="1" s="1"/>
  <c r="FO293" i="1" s="1"/>
  <c r="FL293" i="1" s="1"/>
  <c r="FK293" i="1" s="1"/>
  <c r="DW291" i="1"/>
  <c r="DX291" i="1" s="1"/>
  <c r="DQ291" i="1"/>
  <c r="DY291" i="1"/>
  <c r="DL291" i="1"/>
  <c r="DH291" i="1" s="1"/>
  <c r="DE291" i="1" s="1"/>
  <c r="DD291" i="1" s="1"/>
  <c r="DU291" i="1"/>
  <c r="DV291" i="1" s="1"/>
  <c r="DS291" i="1"/>
  <c r="DQ170" i="1"/>
  <c r="DS170" i="1"/>
  <c r="DL170" i="1"/>
  <c r="DH170" i="1" s="1"/>
  <c r="DE170" i="1" s="1"/>
  <c r="DD170" i="1" s="1"/>
  <c r="DW170" i="1"/>
  <c r="DX170" i="1" s="1"/>
  <c r="DY170" i="1"/>
  <c r="DU170" i="1"/>
  <c r="DV170" i="1" s="1"/>
  <c r="DJ293" i="1"/>
  <c r="DN293" i="1"/>
  <c r="DG173" i="1"/>
  <c r="DJ172" i="1"/>
  <c r="DN172" i="1"/>
  <c r="DM292" i="1"/>
  <c r="DO292" i="1"/>
  <c r="DP292" i="1"/>
  <c r="DR292" i="1"/>
  <c r="DT292" i="1"/>
  <c r="DZ292" i="1" s="1"/>
  <c r="GB292" i="1"/>
  <c r="GC292" i="1" s="1"/>
  <c r="GD292" i="1"/>
  <c r="GE292" i="1" s="1"/>
  <c r="FX292" i="1"/>
  <c r="GF292" i="1"/>
  <c r="FZ292" i="1"/>
  <c r="FQ294" i="1"/>
  <c r="FU294" i="1"/>
  <c r="EP295" i="1"/>
  <c r="EI296" i="1"/>
  <c r="EL295" i="1"/>
  <c r="ET294" i="1"/>
  <c r="ER294" i="1"/>
  <c r="EQ294" i="1"/>
  <c r="EV294" i="1"/>
  <c r="FB294" i="1" s="1"/>
  <c r="EO294" i="1"/>
  <c r="DG294" i="1"/>
  <c r="EN293" i="1"/>
  <c r="EJ293" i="1" s="1"/>
  <c r="EG293" i="1" s="1"/>
  <c r="EF293" i="1" s="1"/>
  <c r="ES293" i="1"/>
  <c r="EW293" i="1"/>
  <c r="EX293" i="1" s="1"/>
  <c r="FA293" i="1"/>
  <c r="EY293" i="1"/>
  <c r="EZ293" i="1" s="1"/>
  <c r="EU293" i="1"/>
  <c r="CO294" i="1"/>
  <c r="CU294" i="1" s="1"/>
  <c r="CM294" i="1"/>
  <c r="CK294" i="1"/>
  <c r="CJ294" i="1"/>
  <c r="CH294" i="1"/>
  <c r="FN295" i="1"/>
  <c r="CG293" i="1"/>
  <c r="CC293" i="1" s="1"/>
  <c r="BZ293" i="1" s="1"/>
  <c r="BY293" i="1" s="1"/>
  <c r="CT293" i="1"/>
  <c r="CR293" i="1"/>
  <c r="CS293" i="1" s="1"/>
  <c r="CL293" i="1"/>
  <c r="CP293" i="1"/>
  <c r="CQ293" i="1" s="1"/>
  <c r="CN293" i="1"/>
  <c r="CI295" i="1"/>
  <c r="CB296" i="1"/>
  <c r="CE295" i="1"/>
  <c r="CO175" i="1"/>
  <c r="CU175" i="1" s="1"/>
  <c r="CJ175" i="1"/>
  <c r="CH175" i="1"/>
  <c r="CM175" i="1"/>
  <c r="CK175" i="1"/>
  <c r="EY173" i="1"/>
  <c r="EZ173" i="1" s="1"/>
  <c r="EW173" i="1"/>
  <c r="EX173" i="1" s="1"/>
  <c r="EU173" i="1"/>
  <c r="ES173" i="1"/>
  <c r="EN173" i="1"/>
  <c r="EJ173" i="1" s="1"/>
  <c r="EG173" i="1" s="1"/>
  <c r="EF173" i="1" s="1"/>
  <c r="FA173" i="1"/>
  <c r="CN174" i="1"/>
  <c r="CL174" i="1"/>
  <c r="CG174" i="1"/>
  <c r="CC174" i="1" s="1"/>
  <c r="BZ174" i="1" s="1"/>
  <c r="BY174" i="1" s="1"/>
  <c r="CT174" i="1"/>
  <c r="CR174" i="1"/>
  <c r="CS174" i="1" s="1"/>
  <c r="CP174" i="1"/>
  <c r="CQ174" i="1" s="1"/>
  <c r="CI176" i="1"/>
  <c r="CE176" i="1"/>
  <c r="CB177" i="1"/>
  <c r="EP175" i="1"/>
  <c r="EL175" i="1"/>
  <c r="EI176" i="1"/>
  <c r="EQ174" i="1"/>
  <c r="EO174" i="1"/>
  <c r="EV174" i="1"/>
  <c r="FB174" i="1" s="1"/>
  <c r="ET174" i="1"/>
  <c r="ER174" i="1"/>
  <c r="CH52" i="1"/>
  <c r="CM52" i="1"/>
  <c r="CK52" i="1"/>
  <c r="CO52" i="1"/>
  <c r="CU52" i="1" s="1"/>
  <c r="CJ52" i="1"/>
  <c r="CT51" i="1"/>
  <c r="CN51" i="1"/>
  <c r="CP51" i="1"/>
  <c r="CQ51" i="1" s="1"/>
  <c r="CR51" i="1"/>
  <c r="CS51" i="1" s="1"/>
  <c r="CG51" i="1"/>
  <c r="CC51" i="1" s="1"/>
  <c r="BZ51" i="1" s="1"/>
  <c r="BY51" i="1" s="1"/>
  <c r="CL51" i="1"/>
  <c r="CE53" i="1"/>
  <c r="CB54" i="1"/>
  <c r="CI53" i="1"/>
  <c r="FN53" i="1"/>
  <c r="FQ52" i="1"/>
  <c r="FU52" i="1"/>
  <c r="ER54" i="1"/>
  <c r="EQ54" i="1"/>
  <c r="ET54" i="1"/>
  <c r="EV54" i="1"/>
  <c r="FB54" i="1" s="1"/>
  <c r="EO54" i="1"/>
  <c r="FT51" i="1"/>
  <c r="FV51" i="1"/>
  <c r="FW51" i="1"/>
  <c r="FY51" i="1"/>
  <c r="GA51" i="1"/>
  <c r="GG51" i="1" s="1"/>
  <c r="FS51" i="1" s="1"/>
  <c r="FO51" i="1" s="1"/>
  <c r="FL51" i="1" s="1"/>
  <c r="FK51" i="1" s="1"/>
  <c r="DM51" i="1"/>
  <c r="DO51" i="1"/>
  <c r="DP51" i="1"/>
  <c r="DT51" i="1"/>
  <c r="DZ51" i="1" s="1"/>
  <c r="DR51" i="1"/>
  <c r="GB50" i="1"/>
  <c r="GC50" i="1" s="1"/>
  <c r="FX50" i="1"/>
  <c r="GF50" i="1"/>
  <c r="FZ50" i="1"/>
  <c r="GD50" i="1"/>
  <c r="GE50" i="1" s="1"/>
  <c r="DW50" i="1"/>
  <c r="DX50" i="1" s="1"/>
  <c r="DU50" i="1"/>
  <c r="DV50" i="1" s="1"/>
  <c r="DQ50" i="1"/>
  <c r="DS50" i="1"/>
  <c r="DY50" i="1"/>
  <c r="DL50" i="1"/>
  <c r="DH50" i="1" s="1"/>
  <c r="DE50" i="1" s="1"/>
  <c r="DD50" i="1" s="1"/>
  <c r="EL55" i="1"/>
  <c r="EI56" i="1"/>
  <c r="EP55" i="1"/>
  <c r="DJ52" i="1"/>
  <c r="DG53" i="1"/>
  <c r="DN52" i="1"/>
  <c r="ES53" i="1"/>
  <c r="EU53" i="1"/>
  <c r="EN53" i="1"/>
  <c r="EJ53" i="1" s="1"/>
  <c r="EG53" i="1" s="1"/>
  <c r="EF53" i="1" s="1"/>
  <c r="EW53" i="1"/>
  <c r="EX53" i="1" s="1"/>
  <c r="EY53" i="1"/>
  <c r="EZ53" i="1" s="1"/>
  <c r="FA53" i="1"/>
  <c r="DO172" i="1" l="1"/>
  <c r="DT172" i="1"/>
  <c r="DZ172" i="1" s="1"/>
  <c r="DM172" i="1"/>
  <c r="DP172" i="1"/>
  <c r="DR172" i="1"/>
  <c r="DG174" i="1"/>
  <c r="DN173" i="1"/>
  <c r="DJ173" i="1"/>
  <c r="GB293" i="1"/>
  <c r="GC293" i="1" s="1"/>
  <c r="GD293" i="1"/>
  <c r="GE293" i="1" s="1"/>
  <c r="FZ293" i="1"/>
  <c r="FX293" i="1"/>
  <c r="GF293" i="1"/>
  <c r="GB171" i="1"/>
  <c r="GC171" i="1" s="1"/>
  <c r="GF171" i="1"/>
  <c r="FX171" i="1"/>
  <c r="GD171" i="1"/>
  <c r="GE171" i="1" s="1"/>
  <c r="FZ171" i="1"/>
  <c r="DT293" i="1"/>
  <c r="DZ293" i="1" s="1"/>
  <c r="DO293" i="1"/>
  <c r="DR293" i="1"/>
  <c r="DP293" i="1"/>
  <c r="DM293" i="1"/>
  <c r="DJ294" i="1"/>
  <c r="DN294" i="1"/>
  <c r="FW294" i="1"/>
  <c r="FY294" i="1"/>
  <c r="FT294" i="1"/>
  <c r="FV294" i="1"/>
  <c r="GA294" i="1"/>
  <c r="GG294" i="1" s="1"/>
  <c r="FS294" i="1" s="1"/>
  <c r="FO294" i="1" s="1"/>
  <c r="FL294" i="1" s="1"/>
  <c r="FK294" i="1" s="1"/>
  <c r="FQ173" i="1"/>
  <c r="FU173" i="1"/>
  <c r="FN174" i="1"/>
  <c r="FV172" i="1"/>
  <c r="FT172" i="1"/>
  <c r="FW172" i="1"/>
  <c r="FY172" i="1"/>
  <c r="GA172" i="1"/>
  <c r="GG172" i="1" s="1"/>
  <c r="FS172" i="1" s="1"/>
  <c r="FO172" i="1" s="1"/>
  <c r="FL172" i="1" s="1"/>
  <c r="FK172" i="1" s="1"/>
  <c r="FQ295" i="1"/>
  <c r="FU295" i="1"/>
  <c r="DS292" i="1"/>
  <c r="DY292" i="1"/>
  <c r="DQ292" i="1"/>
  <c r="DL292" i="1"/>
  <c r="DH292" i="1" s="1"/>
  <c r="DE292" i="1" s="1"/>
  <c r="DD292" i="1" s="1"/>
  <c r="DU292" i="1"/>
  <c r="DV292" i="1" s="1"/>
  <c r="DW292" i="1"/>
  <c r="DX292" i="1" s="1"/>
  <c r="DQ171" i="1"/>
  <c r="DY171" i="1"/>
  <c r="DL171" i="1"/>
  <c r="DH171" i="1" s="1"/>
  <c r="DE171" i="1" s="1"/>
  <c r="DD171" i="1" s="1"/>
  <c r="DS171" i="1"/>
  <c r="DW171" i="1"/>
  <c r="DX171" i="1" s="1"/>
  <c r="DU171" i="1"/>
  <c r="DV171" i="1" s="1"/>
  <c r="CK295" i="1"/>
  <c r="CH295" i="1"/>
  <c r="CO295" i="1"/>
  <c r="CU295" i="1" s="1"/>
  <c r="CM295" i="1"/>
  <c r="CJ295" i="1"/>
  <c r="CG294" i="1"/>
  <c r="CC294" i="1" s="1"/>
  <c r="BZ294" i="1" s="1"/>
  <c r="BY294" i="1" s="1"/>
  <c r="CT294" i="1"/>
  <c r="CL294" i="1"/>
  <c r="CR294" i="1"/>
  <c r="CS294" i="1" s="1"/>
  <c r="CP294" i="1"/>
  <c r="CQ294" i="1" s="1"/>
  <c r="CN294" i="1"/>
  <c r="DG295" i="1"/>
  <c r="EY294" i="1"/>
  <c r="EZ294" i="1" s="1"/>
  <c r="EN294" i="1"/>
  <c r="EJ294" i="1" s="1"/>
  <c r="EG294" i="1" s="1"/>
  <c r="EF294" i="1" s="1"/>
  <c r="FA294" i="1"/>
  <c r="EW294" i="1"/>
  <c r="EX294" i="1" s="1"/>
  <c r="EU294" i="1"/>
  <c r="ES294" i="1"/>
  <c r="EP296" i="1"/>
  <c r="EI297" i="1"/>
  <c r="EL296" i="1"/>
  <c r="CB297" i="1"/>
  <c r="CI296" i="1"/>
  <c r="CE296" i="1"/>
  <c r="FN296" i="1"/>
  <c r="EV295" i="1"/>
  <c r="FB295" i="1" s="1"/>
  <c r="ET295" i="1"/>
  <c r="ER295" i="1"/>
  <c r="EQ295" i="1"/>
  <c r="EO295" i="1"/>
  <c r="EP176" i="1"/>
  <c r="EL176" i="1"/>
  <c r="EI177" i="1"/>
  <c r="ET175" i="1"/>
  <c r="EQ175" i="1"/>
  <c r="EO175" i="1"/>
  <c r="EV175" i="1"/>
  <c r="FB175" i="1" s="1"/>
  <c r="ER175" i="1"/>
  <c r="ES174" i="1"/>
  <c r="EY174" i="1"/>
  <c r="EZ174" i="1" s="1"/>
  <c r="EW174" i="1"/>
  <c r="EX174" i="1" s="1"/>
  <c r="EN174" i="1"/>
  <c r="EJ174" i="1" s="1"/>
  <c r="EG174" i="1" s="1"/>
  <c r="EF174" i="1" s="1"/>
  <c r="FA174" i="1"/>
  <c r="EU174" i="1"/>
  <c r="CB178" i="1"/>
  <c r="CI177" i="1"/>
  <c r="CE177" i="1"/>
  <c r="CG175" i="1"/>
  <c r="CC175" i="1" s="1"/>
  <c r="BZ175" i="1" s="1"/>
  <c r="BY175" i="1" s="1"/>
  <c r="CT175" i="1"/>
  <c r="CL175" i="1"/>
  <c r="CR175" i="1"/>
  <c r="CS175" i="1" s="1"/>
  <c r="CP175" i="1"/>
  <c r="CQ175" i="1" s="1"/>
  <c r="CN175" i="1"/>
  <c r="CK176" i="1"/>
  <c r="CH176" i="1"/>
  <c r="CO176" i="1"/>
  <c r="CU176" i="1" s="1"/>
  <c r="CM176" i="1"/>
  <c r="CJ176" i="1"/>
  <c r="DJ53" i="1"/>
  <c r="DG54" i="1"/>
  <c r="DN53" i="1"/>
  <c r="GB51" i="1"/>
  <c r="GC51" i="1" s="1"/>
  <c r="GD51" i="1"/>
  <c r="GE51" i="1" s="1"/>
  <c r="FZ51" i="1"/>
  <c r="FX51" i="1"/>
  <c r="GF51" i="1"/>
  <c r="FN54" i="1"/>
  <c r="FQ53" i="1"/>
  <c r="FU53" i="1"/>
  <c r="EO55" i="1"/>
  <c r="ER55" i="1"/>
  <c r="EQ55" i="1"/>
  <c r="ET55" i="1"/>
  <c r="EV55" i="1"/>
  <c r="FB55" i="1" s="1"/>
  <c r="EU54" i="1"/>
  <c r="ES54" i="1"/>
  <c r="FA54" i="1"/>
  <c r="EN54" i="1"/>
  <c r="EJ54" i="1" s="1"/>
  <c r="EG54" i="1" s="1"/>
  <c r="EF54" i="1" s="1"/>
  <c r="EY54" i="1"/>
  <c r="EZ54" i="1" s="1"/>
  <c r="EW54" i="1"/>
  <c r="EX54" i="1" s="1"/>
  <c r="CO53" i="1"/>
  <c r="CU53" i="1" s="1"/>
  <c r="CJ53" i="1"/>
  <c r="CK53" i="1"/>
  <c r="CM53" i="1"/>
  <c r="CH53" i="1"/>
  <c r="EI57" i="1"/>
  <c r="EL56" i="1"/>
  <c r="EP56" i="1"/>
  <c r="CB55" i="1"/>
  <c r="CE54" i="1"/>
  <c r="CI54" i="1"/>
  <c r="DL51" i="1"/>
  <c r="DH51" i="1" s="1"/>
  <c r="DE51" i="1" s="1"/>
  <c r="DD51" i="1" s="1"/>
  <c r="DW51" i="1"/>
  <c r="DX51" i="1" s="1"/>
  <c r="DS51" i="1"/>
  <c r="DY51" i="1"/>
  <c r="DU51" i="1"/>
  <c r="DV51" i="1" s="1"/>
  <c r="DQ51" i="1"/>
  <c r="DO52" i="1"/>
  <c r="DP52" i="1"/>
  <c r="DR52" i="1"/>
  <c r="DM52" i="1"/>
  <c r="DT52" i="1"/>
  <c r="DZ52" i="1" s="1"/>
  <c r="FT52" i="1"/>
  <c r="FV52" i="1"/>
  <c r="FW52" i="1"/>
  <c r="FY52" i="1"/>
  <c r="GA52" i="1"/>
  <c r="GG52" i="1" s="1"/>
  <c r="FS52" i="1" s="1"/>
  <c r="FO52" i="1" s="1"/>
  <c r="FL52" i="1" s="1"/>
  <c r="FK52" i="1" s="1"/>
  <c r="CG52" i="1"/>
  <c r="CC52" i="1" s="1"/>
  <c r="BZ52" i="1" s="1"/>
  <c r="BY52" i="1" s="1"/>
  <c r="CL52" i="1"/>
  <c r="CN52" i="1"/>
  <c r="CT52" i="1"/>
  <c r="CP52" i="1"/>
  <c r="CQ52" i="1" s="1"/>
  <c r="CR52" i="1"/>
  <c r="CS52" i="1" s="1"/>
  <c r="FW295" i="1" l="1"/>
  <c r="FV295" i="1"/>
  <c r="FY295" i="1"/>
  <c r="FT295" i="1"/>
  <c r="GA295" i="1"/>
  <c r="GG295" i="1" s="1"/>
  <c r="FS295" i="1" s="1"/>
  <c r="FO295" i="1" s="1"/>
  <c r="FL295" i="1" s="1"/>
  <c r="FK295" i="1" s="1"/>
  <c r="FT173" i="1"/>
  <c r="FV173" i="1"/>
  <c r="FW173" i="1"/>
  <c r="FY173" i="1"/>
  <c r="GA173" i="1"/>
  <c r="GG173" i="1" s="1"/>
  <c r="FS173" i="1" s="1"/>
  <c r="FO173" i="1" s="1"/>
  <c r="FL173" i="1" s="1"/>
  <c r="FK173" i="1" s="1"/>
  <c r="DG175" i="1"/>
  <c r="DN174" i="1"/>
  <c r="DJ174" i="1"/>
  <c r="DJ295" i="1"/>
  <c r="DN295" i="1"/>
  <c r="DS293" i="1"/>
  <c r="DL293" i="1"/>
  <c r="DH293" i="1" s="1"/>
  <c r="DE293" i="1" s="1"/>
  <c r="DD293" i="1" s="1"/>
  <c r="DU293" i="1"/>
  <c r="DV293" i="1" s="1"/>
  <c r="DQ293" i="1"/>
  <c r="DY293" i="1"/>
  <c r="DW293" i="1"/>
  <c r="DX293" i="1" s="1"/>
  <c r="FQ296" i="1"/>
  <c r="FU296" i="1"/>
  <c r="FX294" i="1"/>
  <c r="GB294" i="1"/>
  <c r="GC294" i="1" s="1"/>
  <c r="GD294" i="1"/>
  <c r="GE294" i="1" s="1"/>
  <c r="GF294" i="1"/>
  <c r="FZ294" i="1"/>
  <c r="DM173" i="1"/>
  <c r="DO173" i="1"/>
  <c r="DP173" i="1"/>
  <c r="DR173" i="1"/>
  <c r="DT173" i="1"/>
  <c r="DZ173" i="1" s="1"/>
  <c r="GD172" i="1"/>
  <c r="GE172" i="1" s="1"/>
  <c r="GF172" i="1"/>
  <c r="FX172" i="1"/>
  <c r="GB172" i="1"/>
  <c r="GC172" i="1" s="1"/>
  <c r="FZ172" i="1"/>
  <c r="DL172" i="1"/>
  <c r="DH172" i="1" s="1"/>
  <c r="DE172" i="1" s="1"/>
  <c r="DD172" i="1" s="1"/>
  <c r="DW172" i="1"/>
  <c r="DX172" i="1" s="1"/>
  <c r="DY172" i="1"/>
  <c r="DQ172" i="1"/>
  <c r="DU172" i="1"/>
  <c r="DV172" i="1" s="1"/>
  <c r="DS172" i="1"/>
  <c r="FQ174" i="1"/>
  <c r="FU174" i="1"/>
  <c r="FN175" i="1"/>
  <c r="DP294" i="1"/>
  <c r="DM294" i="1"/>
  <c r="DR294" i="1"/>
  <c r="DO294" i="1"/>
  <c r="DT294" i="1"/>
  <c r="DZ294" i="1" s="1"/>
  <c r="CO296" i="1"/>
  <c r="CU296" i="1" s="1"/>
  <c r="CM296" i="1"/>
  <c r="CK296" i="1"/>
  <c r="CJ296" i="1"/>
  <c r="CH296" i="1"/>
  <c r="DG296" i="1"/>
  <c r="EN295" i="1"/>
  <c r="EJ295" i="1" s="1"/>
  <c r="EG295" i="1" s="1"/>
  <c r="EF295" i="1" s="1"/>
  <c r="EU295" i="1"/>
  <c r="ES295" i="1"/>
  <c r="EY295" i="1"/>
  <c r="EZ295" i="1" s="1"/>
  <c r="EW295" i="1"/>
  <c r="EX295" i="1" s="1"/>
  <c r="FA295" i="1"/>
  <c r="CI297" i="1"/>
  <c r="CB298" i="1"/>
  <c r="CE297" i="1"/>
  <c r="EP297" i="1"/>
  <c r="EI298" i="1"/>
  <c r="EL297" i="1"/>
  <c r="FN297" i="1"/>
  <c r="ET296" i="1"/>
  <c r="ER296" i="1"/>
  <c r="EQ296" i="1"/>
  <c r="EV296" i="1"/>
  <c r="FB296" i="1" s="1"/>
  <c r="EO296" i="1"/>
  <c r="CP295" i="1"/>
  <c r="CQ295" i="1" s="1"/>
  <c r="CG295" i="1"/>
  <c r="CC295" i="1" s="1"/>
  <c r="BZ295" i="1" s="1"/>
  <c r="BY295" i="1" s="1"/>
  <c r="CN295" i="1"/>
  <c r="CL295" i="1"/>
  <c r="CT295" i="1"/>
  <c r="CR295" i="1"/>
  <c r="CS295" i="1" s="1"/>
  <c r="EP177" i="1"/>
  <c r="EL177" i="1"/>
  <c r="EI178" i="1"/>
  <c r="EQ176" i="1"/>
  <c r="EO176" i="1"/>
  <c r="EV176" i="1"/>
  <c r="FB176" i="1" s="1"/>
  <c r="ET176" i="1"/>
  <c r="ER176" i="1"/>
  <c r="CO177" i="1"/>
  <c r="CU177" i="1" s="1"/>
  <c r="CJ177" i="1"/>
  <c r="CH177" i="1"/>
  <c r="CM177" i="1"/>
  <c r="CK177" i="1"/>
  <c r="CP176" i="1"/>
  <c r="CQ176" i="1" s="1"/>
  <c r="CT176" i="1"/>
  <c r="CR176" i="1"/>
  <c r="CS176" i="1" s="1"/>
  <c r="CG176" i="1"/>
  <c r="CC176" i="1" s="1"/>
  <c r="BZ176" i="1" s="1"/>
  <c r="BY176" i="1" s="1"/>
  <c r="CN176" i="1"/>
  <c r="CL176" i="1"/>
  <c r="CI178" i="1"/>
  <c r="CE178" i="1"/>
  <c r="CB179" i="1"/>
  <c r="EY175" i="1"/>
  <c r="EZ175" i="1" s="1"/>
  <c r="FA175" i="1"/>
  <c r="EN175" i="1"/>
  <c r="EJ175" i="1" s="1"/>
  <c r="EG175" i="1" s="1"/>
  <c r="EF175" i="1" s="1"/>
  <c r="EW175" i="1"/>
  <c r="EX175" i="1" s="1"/>
  <c r="EU175" i="1"/>
  <c r="ES175" i="1"/>
  <c r="CB56" i="1"/>
  <c r="CE55" i="1"/>
  <c r="CI55" i="1"/>
  <c r="ER56" i="1"/>
  <c r="ET56" i="1"/>
  <c r="EO56" i="1"/>
  <c r="EV56" i="1"/>
  <c r="FB56" i="1" s="1"/>
  <c r="EQ56" i="1"/>
  <c r="GB52" i="1"/>
  <c r="GC52" i="1" s="1"/>
  <c r="FX52" i="1"/>
  <c r="GF52" i="1"/>
  <c r="GD52" i="1"/>
  <c r="GE52" i="1" s="1"/>
  <c r="FZ52" i="1"/>
  <c r="EL57" i="1"/>
  <c r="EI58" i="1"/>
  <c r="EP57" i="1"/>
  <c r="EW55" i="1"/>
  <c r="EX55" i="1" s="1"/>
  <c r="EY55" i="1"/>
  <c r="EZ55" i="1" s="1"/>
  <c r="EU55" i="1"/>
  <c r="FA55" i="1"/>
  <c r="EN55" i="1"/>
  <c r="EJ55" i="1" s="1"/>
  <c r="EG55" i="1" s="1"/>
  <c r="EF55" i="1" s="1"/>
  <c r="ES55" i="1"/>
  <c r="DS52" i="1"/>
  <c r="DW52" i="1"/>
  <c r="DX52" i="1" s="1"/>
  <c r="DY52" i="1"/>
  <c r="DL52" i="1"/>
  <c r="DH52" i="1" s="1"/>
  <c r="DE52" i="1" s="1"/>
  <c r="DD52" i="1" s="1"/>
  <c r="DU52" i="1"/>
  <c r="DV52" i="1" s="1"/>
  <c r="DQ52" i="1"/>
  <c r="CT53" i="1"/>
  <c r="CG53" i="1"/>
  <c r="CC53" i="1" s="1"/>
  <c r="BZ53" i="1" s="1"/>
  <c r="BY53" i="1" s="1"/>
  <c r="CP53" i="1"/>
  <c r="CQ53" i="1" s="1"/>
  <c r="CL53" i="1"/>
  <c r="CN53" i="1"/>
  <c r="CR53" i="1"/>
  <c r="CS53" i="1" s="1"/>
  <c r="FW53" i="1"/>
  <c r="GA53" i="1"/>
  <c r="GG53" i="1" s="1"/>
  <c r="FS53" i="1" s="1"/>
  <c r="FO53" i="1" s="1"/>
  <c r="FL53" i="1" s="1"/>
  <c r="FK53" i="1" s="1"/>
  <c r="FT53" i="1"/>
  <c r="FV53" i="1"/>
  <c r="FY53" i="1"/>
  <c r="DP53" i="1"/>
  <c r="DR53" i="1"/>
  <c r="DM53" i="1"/>
  <c r="DO53" i="1"/>
  <c r="DT53" i="1"/>
  <c r="DZ53" i="1" s="1"/>
  <c r="DJ54" i="1"/>
  <c r="DG55" i="1"/>
  <c r="DN54" i="1"/>
  <c r="CO54" i="1"/>
  <c r="CU54" i="1" s="1"/>
  <c r="CH54" i="1"/>
  <c r="CJ54" i="1"/>
  <c r="CK54" i="1"/>
  <c r="CM54" i="1"/>
  <c r="FN55" i="1"/>
  <c r="FQ54" i="1"/>
  <c r="FU54" i="1"/>
  <c r="FQ297" i="1" l="1"/>
  <c r="FU297" i="1"/>
  <c r="FQ175" i="1"/>
  <c r="FU175" i="1"/>
  <c r="FN176" i="1"/>
  <c r="FW296" i="1"/>
  <c r="FY296" i="1"/>
  <c r="FV296" i="1"/>
  <c r="FT296" i="1"/>
  <c r="GA296" i="1"/>
  <c r="GG296" i="1" s="1"/>
  <c r="FS296" i="1" s="1"/>
  <c r="FO296" i="1" s="1"/>
  <c r="FL296" i="1" s="1"/>
  <c r="FK296" i="1" s="1"/>
  <c r="DR295" i="1"/>
  <c r="DM295" i="1"/>
  <c r="DO295" i="1"/>
  <c r="DP295" i="1"/>
  <c r="DT295" i="1"/>
  <c r="DZ295" i="1" s="1"/>
  <c r="FW174" i="1"/>
  <c r="FV174" i="1"/>
  <c r="FY174" i="1"/>
  <c r="FT174" i="1"/>
  <c r="GA174" i="1"/>
  <c r="GG174" i="1" s="1"/>
  <c r="FS174" i="1" s="1"/>
  <c r="FO174" i="1" s="1"/>
  <c r="FL174" i="1" s="1"/>
  <c r="FK174" i="1" s="1"/>
  <c r="GD173" i="1"/>
  <c r="GE173" i="1" s="1"/>
  <c r="FX173" i="1"/>
  <c r="GF173" i="1"/>
  <c r="GB173" i="1"/>
  <c r="GC173" i="1" s="1"/>
  <c r="FZ173" i="1"/>
  <c r="DY173" i="1"/>
  <c r="DW173" i="1"/>
  <c r="DX173" i="1" s="1"/>
  <c r="DS173" i="1"/>
  <c r="DL173" i="1"/>
  <c r="DH173" i="1" s="1"/>
  <c r="DE173" i="1" s="1"/>
  <c r="DD173" i="1" s="1"/>
  <c r="DU173" i="1"/>
  <c r="DV173" i="1" s="1"/>
  <c r="DQ173" i="1"/>
  <c r="DP174" i="1"/>
  <c r="DR174" i="1"/>
  <c r="DT174" i="1"/>
  <c r="DZ174" i="1" s="1"/>
  <c r="DM174" i="1"/>
  <c r="DO174" i="1"/>
  <c r="FZ295" i="1"/>
  <c r="GB295" i="1"/>
  <c r="GC295" i="1" s="1"/>
  <c r="GF295" i="1"/>
  <c r="FX295" i="1"/>
  <c r="GD295" i="1"/>
  <c r="GE295" i="1" s="1"/>
  <c r="DG176" i="1"/>
  <c r="DJ175" i="1"/>
  <c r="DN175" i="1"/>
  <c r="DJ296" i="1"/>
  <c r="DN296" i="1"/>
  <c r="DU294" i="1"/>
  <c r="DV294" i="1" s="1"/>
  <c r="DW294" i="1"/>
  <c r="DX294" i="1" s="1"/>
  <c r="DQ294" i="1"/>
  <c r="DY294" i="1"/>
  <c r="DS294" i="1"/>
  <c r="DL294" i="1"/>
  <c r="DH294" i="1" s="1"/>
  <c r="DE294" i="1" s="1"/>
  <c r="DD294" i="1" s="1"/>
  <c r="EP298" i="1"/>
  <c r="EI299" i="1"/>
  <c r="EL298" i="1"/>
  <c r="DG297" i="1"/>
  <c r="EV297" i="1"/>
  <c r="FB297" i="1" s="1"/>
  <c r="ET297" i="1"/>
  <c r="ER297" i="1"/>
  <c r="EO297" i="1"/>
  <c r="EQ297" i="1"/>
  <c r="CB299" i="1"/>
  <c r="CI298" i="1"/>
  <c r="CE298" i="1"/>
  <c r="CG296" i="1"/>
  <c r="CC296" i="1" s="1"/>
  <c r="BZ296" i="1" s="1"/>
  <c r="BY296" i="1" s="1"/>
  <c r="CT296" i="1"/>
  <c r="CL296" i="1"/>
  <c r="CP296" i="1"/>
  <c r="CQ296" i="1" s="1"/>
  <c r="CN296" i="1"/>
  <c r="CR296" i="1"/>
  <c r="CS296" i="1" s="1"/>
  <c r="CK297" i="1"/>
  <c r="CH297" i="1"/>
  <c r="CO297" i="1"/>
  <c r="CU297" i="1" s="1"/>
  <c r="CM297" i="1"/>
  <c r="CJ297" i="1"/>
  <c r="FN298" i="1"/>
  <c r="EY296" i="1"/>
  <c r="EZ296" i="1" s="1"/>
  <c r="EN296" i="1"/>
  <c r="EJ296" i="1" s="1"/>
  <c r="EG296" i="1" s="1"/>
  <c r="EF296" i="1" s="1"/>
  <c r="EU296" i="1"/>
  <c r="ES296" i="1"/>
  <c r="FA296" i="1"/>
  <c r="EW296" i="1"/>
  <c r="EX296" i="1" s="1"/>
  <c r="EP178" i="1"/>
  <c r="EL178" i="1"/>
  <c r="EI179" i="1"/>
  <c r="EU176" i="1"/>
  <c r="FA176" i="1"/>
  <c r="EY176" i="1"/>
  <c r="EZ176" i="1" s="1"/>
  <c r="EN176" i="1"/>
  <c r="EJ176" i="1" s="1"/>
  <c r="EG176" i="1" s="1"/>
  <c r="EF176" i="1" s="1"/>
  <c r="EW176" i="1"/>
  <c r="EX176" i="1" s="1"/>
  <c r="ES176" i="1"/>
  <c r="ET177" i="1"/>
  <c r="EQ177" i="1"/>
  <c r="EO177" i="1"/>
  <c r="EV177" i="1"/>
  <c r="FB177" i="1" s="1"/>
  <c r="ER177" i="1"/>
  <c r="CB180" i="1"/>
  <c r="CI179" i="1"/>
  <c r="CE179" i="1"/>
  <c r="CG177" i="1"/>
  <c r="CC177" i="1" s="1"/>
  <c r="BZ177" i="1" s="1"/>
  <c r="BY177" i="1" s="1"/>
  <c r="CT177" i="1"/>
  <c r="CL177" i="1"/>
  <c r="CR177" i="1"/>
  <c r="CS177" i="1" s="1"/>
  <c r="CP177" i="1"/>
  <c r="CQ177" i="1" s="1"/>
  <c r="CN177" i="1"/>
  <c r="CK178" i="1"/>
  <c r="CH178" i="1"/>
  <c r="CO178" i="1"/>
  <c r="CU178" i="1" s="1"/>
  <c r="CM178" i="1"/>
  <c r="CJ178" i="1"/>
  <c r="ET57" i="1"/>
  <c r="EV57" i="1"/>
  <c r="FB57" i="1" s="1"/>
  <c r="EO57" i="1"/>
  <c r="EQ57" i="1"/>
  <c r="ER57" i="1"/>
  <c r="EL58" i="1"/>
  <c r="EI59" i="1"/>
  <c r="EP58" i="1"/>
  <c r="EW56" i="1"/>
  <c r="EX56" i="1" s="1"/>
  <c r="FA56" i="1"/>
  <c r="EU56" i="1"/>
  <c r="EY56" i="1"/>
  <c r="EZ56" i="1" s="1"/>
  <c r="ES56" i="1"/>
  <c r="EN56" i="1"/>
  <c r="EJ56" i="1" s="1"/>
  <c r="EG56" i="1" s="1"/>
  <c r="EF56" i="1" s="1"/>
  <c r="FN56" i="1"/>
  <c r="FQ55" i="1"/>
  <c r="FU55" i="1"/>
  <c r="FX53" i="1"/>
  <c r="GB53" i="1"/>
  <c r="GC53" i="1" s="1"/>
  <c r="GF53" i="1"/>
  <c r="GD53" i="1"/>
  <c r="GE53" i="1" s="1"/>
  <c r="FZ53" i="1"/>
  <c r="FT54" i="1"/>
  <c r="FV54" i="1"/>
  <c r="FY54" i="1"/>
  <c r="FW54" i="1"/>
  <c r="GA54" i="1"/>
  <c r="GG54" i="1" s="1"/>
  <c r="FS54" i="1" s="1"/>
  <c r="FO54" i="1" s="1"/>
  <c r="FL54" i="1" s="1"/>
  <c r="FK54" i="1" s="1"/>
  <c r="CM55" i="1"/>
  <c r="CJ55" i="1"/>
  <c r="CK55" i="1"/>
  <c r="CO55" i="1"/>
  <c r="CU55" i="1" s="1"/>
  <c r="CH55" i="1"/>
  <c r="DP54" i="1"/>
  <c r="DT54" i="1"/>
  <c r="DZ54" i="1" s="1"/>
  <c r="DO54" i="1"/>
  <c r="DR54" i="1"/>
  <c r="DM54" i="1"/>
  <c r="DG56" i="1"/>
  <c r="DJ55" i="1"/>
  <c r="DN55" i="1"/>
  <c r="DU53" i="1"/>
  <c r="DV53" i="1" s="1"/>
  <c r="DQ53" i="1"/>
  <c r="DY53" i="1"/>
  <c r="DS53" i="1"/>
  <c r="DL53" i="1"/>
  <c r="DH53" i="1" s="1"/>
  <c r="DE53" i="1" s="1"/>
  <c r="DD53" i="1" s="1"/>
  <c r="DW53" i="1"/>
  <c r="DX53" i="1" s="1"/>
  <c r="CN54" i="1"/>
  <c r="CT54" i="1"/>
  <c r="CP54" i="1"/>
  <c r="CQ54" i="1" s="1"/>
  <c r="CG54" i="1"/>
  <c r="CC54" i="1" s="1"/>
  <c r="BZ54" i="1" s="1"/>
  <c r="BY54" i="1" s="1"/>
  <c r="CR54" i="1"/>
  <c r="CS54" i="1" s="1"/>
  <c r="CL54" i="1"/>
  <c r="CB57" i="1"/>
  <c r="CE56" i="1"/>
  <c r="CI56" i="1"/>
  <c r="DJ297" i="1" l="1"/>
  <c r="DN297" i="1"/>
  <c r="DO296" i="1"/>
  <c r="DR296" i="1"/>
  <c r="DM296" i="1"/>
  <c r="DP296" i="1"/>
  <c r="DT296" i="1"/>
  <c r="DZ296" i="1" s="1"/>
  <c r="FQ176" i="1"/>
  <c r="FU176" i="1"/>
  <c r="FN177" i="1"/>
  <c r="FQ298" i="1"/>
  <c r="FU298" i="1"/>
  <c r="DR175" i="1"/>
  <c r="DM175" i="1"/>
  <c r="DP175" i="1"/>
  <c r="DO175" i="1"/>
  <c r="DT175" i="1"/>
  <c r="DZ175" i="1" s="1"/>
  <c r="DW295" i="1"/>
  <c r="DX295" i="1" s="1"/>
  <c r="DL295" i="1"/>
  <c r="DH295" i="1" s="1"/>
  <c r="DE295" i="1" s="1"/>
  <c r="DD295" i="1" s="1"/>
  <c r="DU295" i="1"/>
  <c r="DV295" i="1" s="1"/>
  <c r="DQ295" i="1"/>
  <c r="DY295" i="1"/>
  <c r="DS295" i="1"/>
  <c r="FW175" i="1"/>
  <c r="FT175" i="1"/>
  <c r="FY175" i="1"/>
  <c r="FV175" i="1"/>
  <c r="GA175" i="1"/>
  <c r="GG175" i="1" s="1"/>
  <c r="FS175" i="1" s="1"/>
  <c r="FO175" i="1" s="1"/>
  <c r="FL175" i="1" s="1"/>
  <c r="FK175" i="1" s="1"/>
  <c r="DU174" i="1"/>
  <c r="DV174" i="1" s="1"/>
  <c r="DS174" i="1"/>
  <c r="DL174" i="1"/>
  <c r="DH174" i="1" s="1"/>
  <c r="DE174" i="1" s="1"/>
  <c r="DD174" i="1" s="1"/>
  <c r="DW174" i="1"/>
  <c r="DX174" i="1" s="1"/>
  <c r="DY174" i="1"/>
  <c r="DQ174" i="1"/>
  <c r="GB174" i="1"/>
  <c r="GC174" i="1" s="1"/>
  <c r="FX174" i="1"/>
  <c r="FZ174" i="1"/>
  <c r="GD174" i="1"/>
  <c r="GE174" i="1" s="1"/>
  <c r="GF174" i="1"/>
  <c r="DG177" i="1"/>
  <c r="DJ176" i="1"/>
  <c r="DN176" i="1"/>
  <c r="FT297" i="1"/>
  <c r="FV297" i="1"/>
  <c r="FW297" i="1"/>
  <c r="FY297" i="1"/>
  <c r="GA297" i="1"/>
  <c r="GG297" i="1" s="1"/>
  <c r="FS297" i="1" s="1"/>
  <c r="FO297" i="1" s="1"/>
  <c r="FL297" i="1" s="1"/>
  <c r="FK297" i="1" s="1"/>
  <c r="FZ296" i="1"/>
  <c r="GB296" i="1"/>
  <c r="GC296" i="1" s="1"/>
  <c r="GD296" i="1"/>
  <c r="GE296" i="1" s="1"/>
  <c r="GF296" i="1"/>
  <c r="FX296" i="1"/>
  <c r="CO298" i="1"/>
  <c r="CU298" i="1" s="1"/>
  <c r="CM298" i="1"/>
  <c r="CK298" i="1"/>
  <c r="CJ298" i="1"/>
  <c r="CH298" i="1"/>
  <c r="FN299" i="1"/>
  <c r="CI299" i="1"/>
  <c r="CB300" i="1"/>
  <c r="CE299" i="1"/>
  <c r="DG298" i="1"/>
  <c r="EN297" i="1"/>
  <c r="EJ297" i="1" s="1"/>
  <c r="EG297" i="1" s="1"/>
  <c r="EF297" i="1" s="1"/>
  <c r="EU297" i="1"/>
  <c r="FA297" i="1"/>
  <c r="EY297" i="1"/>
  <c r="EZ297" i="1" s="1"/>
  <c r="EW297" i="1"/>
  <c r="EX297" i="1" s="1"/>
  <c r="ES297" i="1"/>
  <c r="EP299" i="1"/>
  <c r="EI300" i="1"/>
  <c r="EL299" i="1"/>
  <c r="CP297" i="1"/>
  <c r="CQ297" i="1" s="1"/>
  <c r="CG297" i="1"/>
  <c r="CC297" i="1" s="1"/>
  <c r="BZ297" i="1" s="1"/>
  <c r="BY297" i="1" s="1"/>
  <c r="CT297" i="1"/>
  <c r="CR297" i="1"/>
  <c r="CS297" i="1" s="1"/>
  <c r="CN297" i="1"/>
  <c r="CL297" i="1"/>
  <c r="ET298" i="1"/>
  <c r="ER298" i="1"/>
  <c r="EQ298" i="1"/>
  <c r="EV298" i="1"/>
  <c r="FB298" i="1" s="1"/>
  <c r="EO298" i="1"/>
  <c r="CP178" i="1"/>
  <c r="CQ178" i="1" s="1"/>
  <c r="CT178" i="1"/>
  <c r="CR178" i="1"/>
  <c r="CS178" i="1" s="1"/>
  <c r="CG178" i="1"/>
  <c r="CC178" i="1" s="1"/>
  <c r="BZ178" i="1" s="1"/>
  <c r="BY178" i="1" s="1"/>
  <c r="CN178" i="1"/>
  <c r="CL178" i="1"/>
  <c r="CO179" i="1"/>
  <c r="CU179" i="1" s="1"/>
  <c r="CJ179" i="1"/>
  <c r="CH179" i="1"/>
  <c r="CM179" i="1"/>
  <c r="CK179" i="1"/>
  <c r="EI180" i="1"/>
  <c r="EP179" i="1"/>
  <c r="EL179" i="1"/>
  <c r="CI180" i="1"/>
  <c r="CE180" i="1"/>
  <c r="CB181" i="1"/>
  <c r="EY177" i="1"/>
  <c r="EZ177" i="1" s="1"/>
  <c r="FA177" i="1"/>
  <c r="EN177" i="1"/>
  <c r="EJ177" i="1" s="1"/>
  <c r="EG177" i="1" s="1"/>
  <c r="EF177" i="1" s="1"/>
  <c r="EW177" i="1"/>
  <c r="EX177" i="1" s="1"/>
  <c r="EU177" i="1"/>
  <c r="ES177" i="1"/>
  <c r="EQ178" i="1"/>
  <c r="EO178" i="1"/>
  <c r="EV178" i="1"/>
  <c r="FB178" i="1" s="1"/>
  <c r="ET178" i="1"/>
  <c r="ER178" i="1"/>
  <c r="DT55" i="1"/>
  <c r="DZ55" i="1" s="1"/>
  <c r="DR55" i="1"/>
  <c r="DM55" i="1"/>
  <c r="DO55" i="1"/>
  <c r="DP55" i="1"/>
  <c r="CN55" i="1"/>
  <c r="CR55" i="1"/>
  <c r="CS55" i="1" s="1"/>
  <c r="CT55" i="1"/>
  <c r="CP55" i="1"/>
  <c r="CQ55" i="1" s="1"/>
  <c r="CG55" i="1"/>
  <c r="CC55" i="1" s="1"/>
  <c r="BZ55" i="1" s="1"/>
  <c r="BY55" i="1" s="1"/>
  <c r="CL55" i="1"/>
  <c r="EO58" i="1"/>
  <c r="EV58" i="1"/>
  <c r="FB58" i="1" s="1"/>
  <c r="EQ58" i="1"/>
  <c r="ER58" i="1"/>
  <c r="ET58" i="1"/>
  <c r="GD54" i="1"/>
  <c r="GE54" i="1" s="1"/>
  <c r="GF54" i="1"/>
  <c r="FZ54" i="1"/>
  <c r="FX54" i="1"/>
  <c r="GB54" i="1"/>
  <c r="GC54" i="1" s="1"/>
  <c r="FN57" i="1"/>
  <c r="FQ56" i="1"/>
  <c r="FU56" i="1"/>
  <c r="EI60" i="1"/>
  <c r="EL59" i="1"/>
  <c r="EP59" i="1"/>
  <c r="DJ56" i="1"/>
  <c r="DG57" i="1"/>
  <c r="DN56" i="1"/>
  <c r="DU54" i="1"/>
  <c r="DV54" i="1" s="1"/>
  <c r="DL54" i="1"/>
  <c r="DH54" i="1" s="1"/>
  <c r="DE54" i="1" s="1"/>
  <c r="DD54" i="1" s="1"/>
  <c r="DQ54" i="1"/>
  <c r="DY54" i="1"/>
  <c r="DS54" i="1"/>
  <c r="DW54" i="1"/>
  <c r="DX54" i="1" s="1"/>
  <c r="CB58" i="1"/>
  <c r="CE57" i="1"/>
  <c r="CI57" i="1"/>
  <c r="ES57" i="1"/>
  <c r="EW57" i="1"/>
  <c r="EX57" i="1" s="1"/>
  <c r="EU57" i="1"/>
  <c r="EY57" i="1"/>
  <c r="EZ57" i="1" s="1"/>
  <c r="FA57" i="1"/>
  <c r="EN57" i="1"/>
  <c r="EJ57" i="1" s="1"/>
  <c r="EG57" i="1" s="1"/>
  <c r="EF57" i="1" s="1"/>
  <c r="CH56" i="1"/>
  <c r="CK56" i="1"/>
  <c r="CM56" i="1"/>
  <c r="CO56" i="1"/>
  <c r="CU56" i="1" s="1"/>
  <c r="CJ56" i="1"/>
  <c r="FY55" i="1"/>
  <c r="FV55" i="1"/>
  <c r="FW55" i="1"/>
  <c r="FT55" i="1"/>
  <c r="GA55" i="1"/>
  <c r="GG55" i="1" s="1"/>
  <c r="FS55" i="1" s="1"/>
  <c r="FO55" i="1" s="1"/>
  <c r="FL55" i="1" s="1"/>
  <c r="FK55" i="1" s="1"/>
  <c r="DG178" i="1" l="1"/>
  <c r="DN177" i="1"/>
  <c r="DJ177" i="1"/>
  <c r="DQ175" i="1"/>
  <c r="DY175" i="1"/>
  <c r="DS175" i="1"/>
  <c r="DL175" i="1"/>
  <c r="DH175" i="1" s="1"/>
  <c r="DE175" i="1" s="1"/>
  <c r="DD175" i="1" s="1"/>
  <c r="DU175" i="1"/>
  <c r="DV175" i="1" s="1"/>
  <c r="DW175" i="1"/>
  <c r="DX175" i="1" s="1"/>
  <c r="DJ298" i="1"/>
  <c r="DN298" i="1"/>
  <c r="DL296" i="1"/>
  <c r="DH296" i="1" s="1"/>
  <c r="DE296" i="1" s="1"/>
  <c r="DD296" i="1" s="1"/>
  <c r="DS296" i="1"/>
  <c r="DQ296" i="1"/>
  <c r="DY296" i="1"/>
  <c r="DU296" i="1"/>
  <c r="DV296" i="1" s="1"/>
  <c r="DW296" i="1"/>
  <c r="DX296" i="1" s="1"/>
  <c r="FV298" i="1"/>
  <c r="FT298" i="1"/>
  <c r="FW298" i="1"/>
  <c r="FY298" i="1"/>
  <c r="GA298" i="1"/>
  <c r="GG298" i="1" s="1"/>
  <c r="FS298" i="1" s="1"/>
  <c r="FO298" i="1" s="1"/>
  <c r="FL298" i="1" s="1"/>
  <c r="FK298" i="1" s="1"/>
  <c r="FX297" i="1"/>
  <c r="GF297" i="1"/>
  <c r="GD297" i="1"/>
  <c r="GE297" i="1" s="1"/>
  <c r="GB297" i="1"/>
  <c r="GC297" i="1" s="1"/>
  <c r="FZ297" i="1"/>
  <c r="DR176" i="1"/>
  <c r="DT176" i="1"/>
  <c r="DZ176" i="1" s="1"/>
  <c r="DM176" i="1"/>
  <c r="DO176" i="1"/>
  <c r="DP176" i="1"/>
  <c r="FQ177" i="1"/>
  <c r="FU177" i="1"/>
  <c r="FN178" i="1"/>
  <c r="DR297" i="1"/>
  <c r="DM297" i="1"/>
  <c r="DP297" i="1"/>
  <c r="DO297" i="1"/>
  <c r="DT297" i="1"/>
  <c r="DZ297" i="1" s="1"/>
  <c r="FQ299" i="1"/>
  <c r="FU299" i="1"/>
  <c r="FX175" i="1"/>
  <c r="GF175" i="1"/>
  <c r="GB175" i="1"/>
  <c r="GC175" i="1" s="1"/>
  <c r="GD175" i="1"/>
  <c r="GE175" i="1" s="1"/>
  <c r="FZ175" i="1"/>
  <c r="FT176" i="1"/>
  <c r="FV176" i="1"/>
  <c r="FW176" i="1"/>
  <c r="FY176" i="1"/>
  <c r="GA176" i="1"/>
  <c r="GG176" i="1" s="1"/>
  <c r="FS176" i="1" s="1"/>
  <c r="FO176" i="1" s="1"/>
  <c r="FL176" i="1" s="1"/>
  <c r="FK176" i="1" s="1"/>
  <c r="CG298" i="1"/>
  <c r="CC298" i="1" s="1"/>
  <c r="BZ298" i="1" s="1"/>
  <c r="BY298" i="1" s="1"/>
  <c r="CT298" i="1"/>
  <c r="CL298" i="1"/>
  <c r="CR298" i="1"/>
  <c r="CS298" i="1" s="1"/>
  <c r="CP298" i="1"/>
  <c r="CQ298" i="1" s="1"/>
  <c r="CN298" i="1"/>
  <c r="CB301" i="1"/>
  <c r="CI300" i="1"/>
  <c r="CE300" i="1"/>
  <c r="CK299" i="1"/>
  <c r="CH299" i="1"/>
  <c r="CO299" i="1"/>
  <c r="CU299" i="1" s="1"/>
  <c r="CM299" i="1"/>
  <c r="CJ299" i="1"/>
  <c r="EP300" i="1"/>
  <c r="EI301" i="1"/>
  <c r="EL300" i="1"/>
  <c r="FN300" i="1"/>
  <c r="EV299" i="1"/>
  <c r="FB299" i="1" s="1"/>
  <c r="ET299" i="1"/>
  <c r="ER299" i="1"/>
  <c r="EQ299" i="1"/>
  <c r="EO299" i="1"/>
  <c r="EY298" i="1"/>
  <c r="EZ298" i="1" s="1"/>
  <c r="EN298" i="1"/>
  <c r="EJ298" i="1" s="1"/>
  <c r="EG298" i="1" s="1"/>
  <c r="EF298" i="1" s="1"/>
  <c r="FA298" i="1"/>
  <c r="EW298" i="1"/>
  <c r="EX298" i="1" s="1"/>
  <c r="EU298" i="1"/>
  <c r="ES298" i="1"/>
  <c r="DG299" i="1"/>
  <c r="ET179" i="1"/>
  <c r="EQ179" i="1"/>
  <c r="EV179" i="1"/>
  <c r="FB179" i="1" s="1"/>
  <c r="ER179" i="1"/>
  <c r="EO179" i="1"/>
  <c r="EI181" i="1"/>
  <c r="EL180" i="1"/>
  <c r="EP180" i="1"/>
  <c r="CI181" i="1"/>
  <c r="CE181" i="1"/>
  <c r="CB182" i="1"/>
  <c r="EU178" i="1"/>
  <c r="FA178" i="1"/>
  <c r="EY178" i="1"/>
  <c r="EZ178" i="1" s="1"/>
  <c r="EN178" i="1"/>
  <c r="EJ178" i="1" s="1"/>
  <c r="EG178" i="1" s="1"/>
  <c r="EF178" i="1" s="1"/>
  <c r="EW178" i="1"/>
  <c r="EX178" i="1" s="1"/>
  <c r="ES178" i="1"/>
  <c r="CG179" i="1"/>
  <c r="CC179" i="1" s="1"/>
  <c r="BZ179" i="1" s="1"/>
  <c r="BY179" i="1" s="1"/>
  <c r="CT179" i="1"/>
  <c r="CL179" i="1"/>
  <c r="CR179" i="1"/>
  <c r="CS179" i="1" s="1"/>
  <c r="CP179" i="1"/>
  <c r="CQ179" i="1" s="1"/>
  <c r="CN179" i="1"/>
  <c r="CM180" i="1"/>
  <c r="CK180" i="1"/>
  <c r="CH180" i="1"/>
  <c r="CJ180" i="1"/>
  <c r="CO180" i="1"/>
  <c r="CU180" i="1" s="1"/>
  <c r="FY56" i="1"/>
  <c r="GA56" i="1"/>
  <c r="GG56" i="1" s="1"/>
  <c r="FS56" i="1" s="1"/>
  <c r="FO56" i="1" s="1"/>
  <c r="FL56" i="1" s="1"/>
  <c r="FK56" i="1" s="1"/>
  <c r="FT56" i="1"/>
  <c r="FV56" i="1"/>
  <c r="FW56" i="1"/>
  <c r="FX55" i="1"/>
  <c r="GB55" i="1"/>
  <c r="GC55" i="1" s="1"/>
  <c r="FZ55" i="1"/>
  <c r="GD55" i="1"/>
  <c r="GE55" i="1" s="1"/>
  <c r="GF55" i="1"/>
  <c r="DR56" i="1"/>
  <c r="DM56" i="1"/>
  <c r="DO56" i="1"/>
  <c r="DT56" i="1"/>
  <c r="DZ56" i="1" s="1"/>
  <c r="DP56" i="1"/>
  <c r="FN58" i="1"/>
  <c r="FQ57" i="1"/>
  <c r="FU57" i="1"/>
  <c r="CE58" i="1"/>
  <c r="CB59" i="1"/>
  <c r="CI58" i="1"/>
  <c r="DJ57" i="1"/>
  <c r="DG58" i="1"/>
  <c r="DN57" i="1"/>
  <c r="CM57" i="1"/>
  <c r="CK57" i="1"/>
  <c r="CH57" i="1"/>
  <c r="CJ57" i="1"/>
  <c r="CO57" i="1"/>
  <c r="CU57" i="1" s="1"/>
  <c r="CR56" i="1"/>
  <c r="CS56" i="1" s="1"/>
  <c r="CG56" i="1"/>
  <c r="CC56" i="1" s="1"/>
  <c r="BZ56" i="1" s="1"/>
  <c r="BY56" i="1" s="1"/>
  <c r="CT56" i="1"/>
  <c r="CL56" i="1"/>
  <c r="CN56" i="1"/>
  <c r="CP56" i="1"/>
  <c r="CQ56" i="1" s="1"/>
  <c r="EW58" i="1"/>
  <c r="EX58" i="1" s="1"/>
  <c r="ES58" i="1"/>
  <c r="FA58" i="1"/>
  <c r="EU58" i="1"/>
  <c r="EY58" i="1"/>
  <c r="EZ58" i="1" s="1"/>
  <c r="EN58" i="1"/>
  <c r="EJ58" i="1" s="1"/>
  <c r="EG58" i="1" s="1"/>
  <c r="EF58" i="1" s="1"/>
  <c r="EQ59" i="1"/>
  <c r="ET59" i="1"/>
  <c r="EO59" i="1"/>
  <c r="EV59" i="1"/>
  <c r="FB59" i="1" s="1"/>
  <c r="ER59" i="1"/>
  <c r="DY55" i="1"/>
  <c r="DU55" i="1"/>
  <c r="DV55" i="1" s="1"/>
  <c r="DW55" i="1"/>
  <c r="DX55" i="1" s="1"/>
  <c r="DS55" i="1"/>
  <c r="DQ55" i="1"/>
  <c r="DL55" i="1"/>
  <c r="DH55" i="1" s="1"/>
  <c r="DE55" i="1" s="1"/>
  <c r="DD55" i="1" s="1"/>
  <c r="EI61" i="1"/>
  <c r="EL60" i="1"/>
  <c r="EP60" i="1"/>
  <c r="FZ176" i="1" l="1"/>
  <c r="GD176" i="1"/>
  <c r="GE176" i="1" s="1"/>
  <c r="GF176" i="1"/>
  <c r="FX176" i="1"/>
  <c r="GB176" i="1"/>
  <c r="GC176" i="1" s="1"/>
  <c r="DU176" i="1"/>
  <c r="DV176" i="1" s="1"/>
  <c r="DW176" i="1"/>
  <c r="DX176" i="1" s="1"/>
  <c r="DQ176" i="1"/>
  <c r="DY176" i="1"/>
  <c r="DS176" i="1"/>
  <c r="DL176" i="1"/>
  <c r="DH176" i="1" s="1"/>
  <c r="DE176" i="1" s="1"/>
  <c r="DD176" i="1" s="1"/>
  <c r="FQ300" i="1"/>
  <c r="FU300" i="1"/>
  <c r="DQ297" i="1"/>
  <c r="DY297" i="1"/>
  <c r="DL297" i="1"/>
  <c r="DH297" i="1" s="1"/>
  <c r="DE297" i="1" s="1"/>
  <c r="DD297" i="1" s="1"/>
  <c r="DW297" i="1"/>
  <c r="DX297" i="1" s="1"/>
  <c r="DU297" i="1"/>
  <c r="DV297" i="1" s="1"/>
  <c r="DS297" i="1"/>
  <c r="FQ178" i="1"/>
  <c r="FU178" i="1"/>
  <c r="FN179" i="1"/>
  <c r="GB298" i="1"/>
  <c r="GC298" i="1" s="1"/>
  <c r="FZ298" i="1"/>
  <c r="GD298" i="1"/>
  <c r="GE298" i="1" s="1"/>
  <c r="GF298" i="1"/>
  <c r="FX298" i="1"/>
  <c r="DO298" i="1"/>
  <c r="DM298" i="1"/>
  <c r="DR298" i="1"/>
  <c r="DP298" i="1"/>
  <c r="DT298" i="1"/>
  <c r="DZ298" i="1" s="1"/>
  <c r="DJ299" i="1"/>
  <c r="DN299" i="1"/>
  <c r="FW299" i="1"/>
  <c r="FV299" i="1"/>
  <c r="FY299" i="1"/>
  <c r="FT299" i="1"/>
  <c r="GA299" i="1"/>
  <c r="GG299" i="1" s="1"/>
  <c r="FS299" i="1" s="1"/>
  <c r="FO299" i="1" s="1"/>
  <c r="FL299" i="1" s="1"/>
  <c r="FK299" i="1" s="1"/>
  <c r="FV177" i="1"/>
  <c r="FW177" i="1"/>
  <c r="FT177" i="1"/>
  <c r="FY177" i="1"/>
  <c r="GA177" i="1"/>
  <c r="GG177" i="1" s="1"/>
  <c r="FS177" i="1" s="1"/>
  <c r="FO177" i="1" s="1"/>
  <c r="FL177" i="1" s="1"/>
  <c r="FK177" i="1" s="1"/>
  <c r="DP177" i="1"/>
  <c r="DR177" i="1"/>
  <c r="DM177" i="1"/>
  <c r="DT177" i="1"/>
  <c r="DZ177" i="1" s="1"/>
  <c r="DO177" i="1"/>
  <c r="DG179" i="1"/>
  <c r="DN178" i="1"/>
  <c r="DJ178" i="1"/>
  <c r="EP301" i="1"/>
  <c r="EI302" i="1"/>
  <c r="EL301" i="1"/>
  <c r="CO300" i="1"/>
  <c r="CU300" i="1" s="1"/>
  <c r="CM300" i="1"/>
  <c r="CK300" i="1"/>
  <c r="CJ300" i="1"/>
  <c r="CH300" i="1"/>
  <c r="FN301" i="1"/>
  <c r="ET300" i="1"/>
  <c r="ER300" i="1"/>
  <c r="EQ300" i="1"/>
  <c r="EV300" i="1"/>
  <c r="FB300" i="1" s="1"/>
  <c r="EO300" i="1"/>
  <c r="DG300" i="1"/>
  <c r="CP299" i="1"/>
  <c r="CQ299" i="1" s="1"/>
  <c r="CG299" i="1"/>
  <c r="CC299" i="1" s="1"/>
  <c r="BZ299" i="1" s="1"/>
  <c r="BY299" i="1" s="1"/>
  <c r="CN299" i="1"/>
  <c r="CL299" i="1"/>
  <c r="CT299" i="1"/>
  <c r="CR299" i="1"/>
  <c r="CS299" i="1" s="1"/>
  <c r="CI301" i="1"/>
  <c r="CB302" i="1"/>
  <c r="CE301" i="1"/>
  <c r="EN299" i="1"/>
  <c r="EJ299" i="1" s="1"/>
  <c r="EG299" i="1" s="1"/>
  <c r="EF299" i="1" s="1"/>
  <c r="EU299" i="1"/>
  <c r="ES299" i="1"/>
  <c r="EY299" i="1"/>
  <c r="EZ299" i="1" s="1"/>
  <c r="FA299" i="1"/>
  <c r="EW299" i="1"/>
  <c r="EX299" i="1" s="1"/>
  <c r="EV180" i="1"/>
  <c r="FB180" i="1" s="1"/>
  <c r="ER180" i="1"/>
  <c r="EQ180" i="1"/>
  <c r="ET180" i="1"/>
  <c r="EO180" i="1"/>
  <c r="EY179" i="1"/>
  <c r="EZ179" i="1" s="1"/>
  <c r="EW179" i="1"/>
  <c r="EX179" i="1" s="1"/>
  <c r="EU179" i="1"/>
  <c r="ES179" i="1"/>
  <c r="EN179" i="1"/>
  <c r="EJ179" i="1" s="1"/>
  <c r="EG179" i="1" s="1"/>
  <c r="EF179" i="1" s="1"/>
  <c r="FA179" i="1"/>
  <c r="CT180" i="1"/>
  <c r="CP180" i="1"/>
  <c r="CQ180" i="1" s="1"/>
  <c r="CG180" i="1"/>
  <c r="CC180" i="1" s="1"/>
  <c r="BZ180" i="1" s="1"/>
  <c r="BY180" i="1" s="1"/>
  <c r="CL180" i="1"/>
  <c r="CR180" i="1"/>
  <c r="CS180" i="1" s="1"/>
  <c r="CN180" i="1"/>
  <c r="CI182" i="1"/>
  <c r="CB183" i="1"/>
  <c r="CE182" i="1"/>
  <c r="EI182" i="1"/>
  <c r="EP181" i="1"/>
  <c r="EL181" i="1"/>
  <c r="CM181" i="1"/>
  <c r="CK181" i="1"/>
  <c r="CO181" i="1"/>
  <c r="CU181" i="1" s="1"/>
  <c r="CJ181" i="1"/>
  <c r="CH181" i="1"/>
  <c r="DP57" i="1"/>
  <c r="DO57" i="1"/>
  <c r="DR57" i="1"/>
  <c r="DM57" i="1"/>
  <c r="DT57" i="1"/>
  <c r="DZ57" i="1" s="1"/>
  <c r="FN59" i="1"/>
  <c r="FQ58" i="1"/>
  <c r="FU58" i="1"/>
  <c r="DJ58" i="1"/>
  <c r="DG59" i="1"/>
  <c r="DN58" i="1"/>
  <c r="EQ60" i="1"/>
  <c r="ER60" i="1"/>
  <c r="ET60" i="1"/>
  <c r="EO60" i="1"/>
  <c r="EV60" i="1"/>
  <c r="FB60" i="1" s="1"/>
  <c r="EL61" i="1"/>
  <c r="EI62" i="1"/>
  <c r="EP61" i="1"/>
  <c r="CM58" i="1"/>
  <c r="CH58" i="1"/>
  <c r="CJ58" i="1"/>
  <c r="CK58" i="1"/>
  <c r="CO58" i="1"/>
  <c r="CU58" i="1" s="1"/>
  <c r="EN59" i="1"/>
  <c r="EJ59" i="1" s="1"/>
  <c r="EG59" i="1" s="1"/>
  <c r="EF59" i="1" s="1"/>
  <c r="ES59" i="1"/>
  <c r="FA59" i="1"/>
  <c r="EW59" i="1"/>
  <c r="EX59" i="1" s="1"/>
  <c r="EU59" i="1"/>
  <c r="EY59" i="1"/>
  <c r="EZ59" i="1" s="1"/>
  <c r="CB60" i="1"/>
  <c r="CE59" i="1"/>
  <c r="CI59" i="1"/>
  <c r="DU56" i="1"/>
  <c r="DV56" i="1" s="1"/>
  <c r="DW56" i="1"/>
  <c r="DX56" i="1" s="1"/>
  <c r="DQ56" i="1"/>
  <c r="DS56" i="1"/>
  <c r="DY56" i="1"/>
  <c r="DL56" i="1"/>
  <c r="DH56" i="1" s="1"/>
  <c r="DE56" i="1" s="1"/>
  <c r="DD56" i="1" s="1"/>
  <c r="CG57" i="1"/>
  <c r="CC57" i="1" s="1"/>
  <c r="BZ57" i="1" s="1"/>
  <c r="BY57" i="1" s="1"/>
  <c r="CR57" i="1"/>
  <c r="CS57" i="1" s="1"/>
  <c r="CL57" i="1"/>
  <c r="CN57" i="1"/>
  <c r="CT57" i="1"/>
  <c r="CP57" i="1"/>
  <c r="CQ57" i="1" s="1"/>
  <c r="FX56" i="1"/>
  <c r="GD56" i="1"/>
  <c r="GE56" i="1" s="1"/>
  <c r="GF56" i="1"/>
  <c r="FZ56" i="1"/>
  <c r="GB56" i="1"/>
  <c r="GC56" i="1" s="1"/>
  <c r="FT57" i="1"/>
  <c r="GA57" i="1"/>
  <c r="GG57" i="1" s="1"/>
  <c r="FS57" i="1" s="1"/>
  <c r="FO57" i="1" s="1"/>
  <c r="FL57" i="1" s="1"/>
  <c r="FK57" i="1" s="1"/>
  <c r="FW57" i="1"/>
  <c r="FV57" i="1"/>
  <c r="FY57" i="1"/>
  <c r="DU177" i="1" l="1"/>
  <c r="DV177" i="1" s="1"/>
  <c r="DQ177" i="1"/>
  <c r="DY177" i="1"/>
  <c r="DW177" i="1"/>
  <c r="DX177" i="1" s="1"/>
  <c r="DS177" i="1"/>
  <c r="DL177" i="1"/>
  <c r="DH177" i="1" s="1"/>
  <c r="DE177" i="1" s="1"/>
  <c r="DD177" i="1" s="1"/>
  <c r="FX299" i="1"/>
  <c r="GF299" i="1"/>
  <c r="FZ299" i="1"/>
  <c r="GB299" i="1"/>
  <c r="GC299" i="1" s="1"/>
  <c r="GD299" i="1"/>
  <c r="GE299" i="1" s="1"/>
  <c r="FQ179" i="1"/>
  <c r="FU179" i="1"/>
  <c r="FN180" i="1"/>
  <c r="DY298" i="1"/>
  <c r="DL298" i="1"/>
  <c r="DH298" i="1" s="1"/>
  <c r="DE298" i="1" s="1"/>
  <c r="DD298" i="1" s="1"/>
  <c r="DQ298" i="1"/>
  <c r="DW298" i="1"/>
  <c r="DX298" i="1" s="1"/>
  <c r="DU298" i="1"/>
  <c r="DV298" i="1" s="1"/>
  <c r="DS298" i="1"/>
  <c r="FT178" i="1"/>
  <c r="FV178" i="1"/>
  <c r="FY178" i="1"/>
  <c r="FW178" i="1"/>
  <c r="GA178" i="1"/>
  <c r="GG178" i="1" s="1"/>
  <c r="FS178" i="1" s="1"/>
  <c r="FO178" i="1" s="1"/>
  <c r="FL178" i="1" s="1"/>
  <c r="FK178" i="1" s="1"/>
  <c r="FW300" i="1"/>
  <c r="FT300" i="1"/>
  <c r="FV300" i="1"/>
  <c r="FY300" i="1"/>
  <c r="GA300" i="1"/>
  <c r="GG300" i="1" s="1"/>
  <c r="FS300" i="1" s="1"/>
  <c r="FO300" i="1" s="1"/>
  <c r="FL300" i="1" s="1"/>
  <c r="FK300" i="1" s="1"/>
  <c r="FQ301" i="1"/>
  <c r="FU301" i="1"/>
  <c r="DR178" i="1"/>
  <c r="DT178" i="1"/>
  <c r="DZ178" i="1" s="1"/>
  <c r="DM178" i="1"/>
  <c r="DO178" i="1"/>
  <c r="DP178" i="1"/>
  <c r="DJ300" i="1"/>
  <c r="DN300" i="1"/>
  <c r="DG180" i="1"/>
  <c r="DN179" i="1"/>
  <c r="DJ179" i="1"/>
  <c r="FX177" i="1"/>
  <c r="GF177" i="1"/>
  <c r="GB177" i="1"/>
  <c r="GC177" i="1" s="1"/>
  <c r="FZ177" i="1"/>
  <c r="GD177" i="1"/>
  <c r="GE177" i="1" s="1"/>
  <c r="DP299" i="1"/>
  <c r="DR299" i="1"/>
  <c r="DM299" i="1"/>
  <c r="DO299" i="1"/>
  <c r="DT299" i="1"/>
  <c r="DZ299" i="1" s="1"/>
  <c r="FN302" i="1"/>
  <c r="CG300" i="1"/>
  <c r="CC300" i="1" s="1"/>
  <c r="BZ300" i="1" s="1"/>
  <c r="BY300" i="1" s="1"/>
  <c r="CT300" i="1"/>
  <c r="CL300" i="1"/>
  <c r="CP300" i="1"/>
  <c r="CQ300" i="1" s="1"/>
  <c r="CR300" i="1"/>
  <c r="CS300" i="1" s="1"/>
  <c r="CN300" i="1"/>
  <c r="CB303" i="1"/>
  <c r="CI302" i="1"/>
  <c r="CE302" i="1"/>
  <c r="EY300" i="1"/>
  <c r="EZ300" i="1" s="1"/>
  <c r="EN300" i="1"/>
  <c r="EJ300" i="1" s="1"/>
  <c r="EG300" i="1" s="1"/>
  <c r="EF300" i="1" s="1"/>
  <c r="EU300" i="1"/>
  <c r="FA300" i="1"/>
  <c r="EW300" i="1"/>
  <c r="EX300" i="1" s="1"/>
  <c r="ES300" i="1"/>
  <c r="CK301" i="1"/>
  <c r="CH301" i="1"/>
  <c r="CO301" i="1"/>
  <c r="CU301" i="1" s="1"/>
  <c r="CM301" i="1"/>
  <c r="CJ301" i="1"/>
  <c r="EI303" i="1"/>
  <c r="EP302" i="1"/>
  <c r="EL302" i="1"/>
  <c r="DG301" i="1"/>
  <c r="EV301" i="1"/>
  <c r="FB301" i="1" s="1"/>
  <c r="ET301" i="1"/>
  <c r="ER301" i="1"/>
  <c r="EO301" i="1"/>
  <c r="EQ301" i="1"/>
  <c r="CH182" i="1"/>
  <c r="CM182" i="1"/>
  <c r="CO182" i="1"/>
  <c r="CU182" i="1" s="1"/>
  <c r="CK182" i="1"/>
  <c r="CJ182" i="1"/>
  <c r="CT181" i="1"/>
  <c r="CL181" i="1"/>
  <c r="CR181" i="1"/>
  <c r="CS181" i="1" s="1"/>
  <c r="CN181" i="1"/>
  <c r="CG181" i="1"/>
  <c r="CC181" i="1" s="1"/>
  <c r="BZ181" i="1" s="1"/>
  <c r="BY181" i="1" s="1"/>
  <c r="CP181" i="1"/>
  <c r="CQ181" i="1" s="1"/>
  <c r="ER181" i="1"/>
  <c r="EQ181" i="1"/>
  <c r="EV181" i="1"/>
  <c r="FB181" i="1" s="1"/>
  <c r="EO181" i="1"/>
  <c r="ET181" i="1"/>
  <c r="EI183" i="1"/>
  <c r="EL182" i="1"/>
  <c r="EP182" i="1"/>
  <c r="EU180" i="1"/>
  <c r="EY180" i="1"/>
  <c r="EZ180" i="1" s="1"/>
  <c r="EN180" i="1"/>
  <c r="EJ180" i="1" s="1"/>
  <c r="EG180" i="1" s="1"/>
  <c r="EF180" i="1" s="1"/>
  <c r="EW180" i="1"/>
  <c r="EX180" i="1" s="1"/>
  <c r="ES180" i="1"/>
  <c r="FA180" i="1"/>
  <c r="CI183" i="1"/>
  <c r="CB184" i="1"/>
  <c r="CE183" i="1"/>
  <c r="FV58" i="1"/>
  <c r="FY58" i="1"/>
  <c r="FT58" i="1"/>
  <c r="FW58" i="1"/>
  <c r="GA58" i="1"/>
  <c r="GG58" i="1" s="1"/>
  <c r="FS58" i="1" s="1"/>
  <c r="FO58" i="1" s="1"/>
  <c r="FL58" i="1" s="1"/>
  <c r="FK58" i="1" s="1"/>
  <c r="CB61" i="1"/>
  <c r="CE60" i="1"/>
  <c r="CI60" i="1"/>
  <c r="EY60" i="1"/>
  <c r="EZ60" i="1" s="1"/>
  <c r="EN60" i="1"/>
  <c r="EJ60" i="1" s="1"/>
  <c r="EG60" i="1" s="1"/>
  <c r="EF60" i="1" s="1"/>
  <c r="EW60" i="1"/>
  <c r="EX60" i="1" s="1"/>
  <c r="EU60" i="1"/>
  <c r="ES60" i="1"/>
  <c r="FA60" i="1"/>
  <c r="FN60" i="1"/>
  <c r="FQ59" i="1"/>
  <c r="FU59" i="1"/>
  <c r="CG58" i="1"/>
  <c r="CC58" i="1" s="1"/>
  <c r="BZ58" i="1" s="1"/>
  <c r="BY58" i="1" s="1"/>
  <c r="CT58" i="1"/>
  <c r="CP58" i="1"/>
  <c r="CQ58" i="1" s="1"/>
  <c r="CL58" i="1"/>
  <c r="CN58" i="1"/>
  <c r="CR58" i="1"/>
  <c r="CS58" i="1" s="1"/>
  <c r="DU57" i="1"/>
  <c r="DV57" i="1" s="1"/>
  <c r="DS57" i="1"/>
  <c r="DW57" i="1"/>
  <c r="DX57" i="1" s="1"/>
  <c r="DQ57" i="1"/>
  <c r="DY57" i="1"/>
  <c r="DL57" i="1"/>
  <c r="DH57" i="1" s="1"/>
  <c r="DE57" i="1" s="1"/>
  <c r="DD57" i="1" s="1"/>
  <c r="ER61" i="1"/>
  <c r="EO61" i="1"/>
  <c r="EV61" i="1"/>
  <c r="FB61" i="1" s="1"/>
  <c r="EQ61" i="1"/>
  <c r="ET61" i="1"/>
  <c r="DM58" i="1"/>
  <c r="DT58" i="1"/>
  <c r="DZ58" i="1" s="1"/>
  <c r="DO58" i="1"/>
  <c r="DP58" i="1"/>
  <c r="DR58" i="1"/>
  <c r="GB57" i="1"/>
  <c r="GC57" i="1" s="1"/>
  <c r="GD57" i="1"/>
  <c r="GE57" i="1" s="1"/>
  <c r="FX57" i="1"/>
  <c r="GF57" i="1"/>
  <c r="FZ57" i="1"/>
  <c r="EL62" i="1"/>
  <c r="EI63" i="1"/>
  <c r="EP62" i="1"/>
  <c r="DG60" i="1"/>
  <c r="DJ59" i="1"/>
  <c r="DN59" i="1"/>
  <c r="CO59" i="1"/>
  <c r="CU59" i="1" s="1"/>
  <c r="CJ59" i="1"/>
  <c r="CK59" i="1"/>
  <c r="CM59" i="1"/>
  <c r="CH59" i="1"/>
  <c r="DG181" i="1" l="1"/>
  <c r="DJ180" i="1"/>
  <c r="DN180" i="1"/>
  <c r="FW301" i="1"/>
  <c r="FT301" i="1"/>
  <c r="FV301" i="1"/>
  <c r="FY301" i="1"/>
  <c r="GA301" i="1"/>
  <c r="GG301" i="1" s="1"/>
  <c r="FS301" i="1" s="1"/>
  <c r="FO301" i="1" s="1"/>
  <c r="FL301" i="1" s="1"/>
  <c r="FK301" i="1" s="1"/>
  <c r="DM300" i="1"/>
  <c r="DO300" i="1"/>
  <c r="DP300" i="1"/>
  <c r="DR300" i="1"/>
  <c r="DT300" i="1"/>
  <c r="DZ300" i="1" s="1"/>
  <c r="FQ180" i="1"/>
  <c r="FU180" i="1"/>
  <c r="FN181" i="1"/>
  <c r="FZ178" i="1"/>
  <c r="GF178" i="1"/>
  <c r="GB178" i="1"/>
  <c r="GC178" i="1" s="1"/>
  <c r="GD178" i="1"/>
  <c r="GE178" i="1" s="1"/>
  <c r="FX178" i="1"/>
  <c r="FV179" i="1"/>
  <c r="FW179" i="1"/>
  <c r="FY179" i="1"/>
  <c r="FT179" i="1"/>
  <c r="GA179" i="1"/>
  <c r="GG179" i="1" s="1"/>
  <c r="FS179" i="1" s="1"/>
  <c r="FO179" i="1" s="1"/>
  <c r="FL179" i="1" s="1"/>
  <c r="FK179" i="1" s="1"/>
  <c r="DJ301" i="1"/>
  <c r="DN301" i="1"/>
  <c r="FQ302" i="1"/>
  <c r="FU302" i="1"/>
  <c r="DL178" i="1"/>
  <c r="DH178" i="1" s="1"/>
  <c r="DE178" i="1" s="1"/>
  <c r="DD178" i="1" s="1"/>
  <c r="DW178" i="1"/>
  <c r="DX178" i="1" s="1"/>
  <c r="DQ178" i="1"/>
  <c r="DY178" i="1"/>
  <c r="DS178" i="1"/>
  <c r="DU178" i="1"/>
  <c r="DV178" i="1" s="1"/>
  <c r="FZ300" i="1"/>
  <c r="GF300" i="1"/>
  <c r="GD300" i="1"/>
  <c r="GE300" i="1" s="1"/>
  <c r="GB300" i="1"/>
  <c r="GC300" i="1" s="1"/>
  <c r="FX300" i="1"/>
  <c r="DW299" i="1"/>
  <c r="DX299" i="1" s="1"/>
  <c r="DQ299" i="1"/>
  <c r="DL299" i="1"/>
  <c r="DH299" i="1" s="1"/>
  <c r="DE299" i="1" s="1"/>
  <c r="DD299" i="1" s="1"/>
  <c r="DU299" i="1"/>
  <c r="DV299" i="1" s="1"/>
  <c r="DY299" i="1"/>
  <c r="DS299" i="1"/>
  <c r="DP179" i="1"/>
  <c r="DT179" i="1"/>
  <c r="DZ179" i="1" s="1"/>
  <c r="DM179" i="1"/>
  <c r="DO179" i="1"/>
  <c r="DR179" i="1"/>
  <c r="FN303" i="1"/>
  <c r="EN301" i="1"/>
  <c r="EJ301" i="1" s="1"/>
  <c r="EG301" i="1" s="1"/>
  <c r="EF301" i="1" s="1"/>
  <c r="EU301" i="1"/>
  <c r="FA301" i="1"/>
  <c r="EY301" i="1"/>
  <c r="EZ301" i="1" s="1"/>
  <c r="EW301" i="1"/>
  <c r="EX301" i="1" s="1"/>
  <c r="ES301" i="1"/>
  <c r="CP301" i="1"/>
  <c r="CQ301" i="1" s="1"/>
  <c r="CG301" i="1"/>
  <c r="CC301" i="1" s="1"/>
  <c r="BZ301" i="1" s="1"/>
  <c r="BY301" i="1" s="1"/>
  <c r="CT301" i="1"/>
  <c r="CR301" i="1"/>
  <c r="CS301" i="1" s="1"/>
  <c r="CN301" i="1"/>
  <c r="CL301" i="1"/>
  <c r="CO302" i="1"/>
  <c r="CU302" i="1" s="1"/>
  <c r="CM302" i="1"/>
  <c r="CK302" i="1"/>
  <c r="CJ302" i="1"/>
  <c r="CH302" i="1"/>
  <c r="CI303" i="1"/>
  <c r="CB304" i="1"/>
  <c r="CE303" i="1"/>
  <c r="DG302" i="1"/>
  <c r="ET302" i="1"/>
  <c r="ER302" i="1"/>
  <c r="EQ302" i="1"/>
  <c r="EV302" i="1"/>
  <c r="FB302" i="1" s="1"/>
  <c r="EO302" i="1"/>
  <c r="EP303" i="1"/>
  <c r="EL303" i="1"/>
  <c r="EI304" i="1"/>
  <c r="EY181" i="1"/>
  <c r="EZ181" i="1" s="1"/>
  <c r="EN181" i="1"/>
  <c r="EJ181" i="1" s="1"/>
  <c r="EG181" i="1" s="1"/>
  <c r="EF181" i="1" s="1"/>
  <c r="EU181" i="1"/>
  <c r="ES181" i="1"/>
  <c r="FA181" i="1"/>
  <c r="EW181" i="1"/>
  <c r="EX181" i="1" s="1"/>
  <c r="CI184" i="1"/>
  <c r="CB185" i="1"/>
  <c r="CE184" i="1"/>
  <c r="CM183" i="1"/>
  <c r="CK183" i="1"/>
  <c r="CO183" i="1"/>
  <c r="CU183" i="1" s="1"/>
  <c r="CJ183" i="1"/>
  <c r="CH183" i="1"/>
  <c r="EV182" i="1"/>
  <c r="FB182" i="1" s="1"/>
  <c r="ER182" i="1"/>
  <c r="EQ182" i="1"/>
  <c r="ET182" i="1"/>
  <c r="EO182" i="1"/>
  <c r="EI184" i="1"/>
  <c r="EP183" i="1"/>
  <c r="EL183" i="1"/>
  <c r="CP182" i="1"/>
  <c r="CQ182" i="1" s="1"/>
  <c r="CT182" i="1"/>
  <c r="CG182" i="1"/>
  <c r="CC182" i="1" s="1"/>
  <c r="BZ182" i="1" s="1"/>
  <c r="BY182" i="1" s="1"/>
  <c r="CN182" i="1"/>
  <c r="CR182" i="1"/>
  <c r="CS182" i="1" s="1"/>
  <c r="CL182" i="1"/>
  <c r="CJ60" i="1"/>
  <c r="CK60" i="1"/>
  <c r="CM60" i="1"/>
  <c r="CO60" i="1"/>
  <c r="CU60" i="1" s="1"/>
  <c r="CH60" i="1"/>
  <c r="EO62" i="1"/>
  <c r="EV62" i="1"/>
  <c r="FB62" i="1" s="1"/>
  <c r="ER62" i="1"/>
  <c r="EQ62" i="1"/>
  <c r="ET62" i="1"/>
  <c r="EW61" i="1"/>
  <c r="EX61" i="1" s="1"/>
  <c r="EY61" i="1"/>
  <c r="EZ61" i="1" s="1"/>
  <c r="EN61" i="1"/>
  <c r="EJ61" i="1" s="1"/>
  <c r="EG61" i="1" s="1"/>
  <c r="EF61" i="1" s="1"/>
  <c r="FA61" i="1"/>
  <c r="ES61" i="1"/>
  <c r="EU61" i="1"/>
  <c r="FN61" i="1"/>
  <c r="FQ60" i="1"/>
  <c r="FU60" i="1"/>
  <c r="DJ60" i="1"/>
  <c r="DG61" i="1"/>
  <c r="DN60" i="1"/>
  <c r="EI64" i="1"/>
  <c r="EL63" i="1"/>
  <c r="EP63" i="1"/>
  <c r="CB62" i="1"/>
  <c r="CE61" i="1"/>
  <c r="CI61" i="1"/>
  <c r="CN59" i="1"/>
  <c r="CG59" i="1"/>
  <c r="CC59" i="1" s="1"/>
  <c r="BZ59" i="1" s="1"/>
  <c r="BY59" i="1" s="1"/>
  <c r="CL59" i="1"/>
  <c r="CT59" i="1"/>
  <c r="CP59" i="1"/>
  <c r="CQ59" i="1" s="1"/>
  <c r="CR59" i="1"/>
  <c r="CS59" i="1" s="1"/>
  <c r="DQ58" i="1"/>
  <c r="DS58" i="1"/>
  <c r="DL58" i="1"/>
  <c r="DH58" i="1" s="1"/>
  <c r="DE58" i="1" s="1"/>
  <c r="DD58" i="1" s="1"/>
  <c r="DU58" i="1"/>
  <c r="DV58" i="1" s="1"/>
  <c r="DW58" i="1"/>
  <c r="DX58" i="1" s="1"/>
  <c r="DY58" i="1"/>
  <c r="GF58" i="1"/>
  <c r="FZ58" i="1"/>
  <c r="GD58" i="1"/>
  <c r="GE58" i="1" s="1"/>
  <c r="GB58" i="1"/>
  <c r="GC58" i="1" s="1"/>
  <c r="FX58" i="1"/>
  <c r="DM59" i="1"/>
  <c r="DT59" i="1"/>
  <c r="DZ59" i="1" s="1"/>
  <c r="DO59" i="1"/>
  <c r="DP59" i="1"/>
  <c r="DR59" i="1"/>
  <c r="FY59" i="1"/>
  <c r="FW59" i="1"/>
  <c r="FT59" i="1"/>
  <c r="GA59" i="1"/>
  <c r="GG59" i="1" s="1"/>
  <c r="FS59" i="1" s="1"/>
  <c r="FO59" i="1" s="1"/>
  <c r="FL59" i="1" s="1"/>
  <c r="FK59" i="1" s="1"/>
  <c r="FV59" i="1"/>
  <c r="FQ181" i="1" l="1"/>
  <c r="FU181" i="1"/>
  <c r="FN182" i="1"/>
  <c r="FV180" i="1"/>
  <c r="FT180" i="1"/>
  <c r="FW180" i="1"/>
  <c r="FY180" i="1"/>
  <c r="GA180" i="1"/>
  <c r="GG180" i="1" s="1"/>
  <c r="FS180" i="1" s="1"/>
  <c r="FO180" i="1" s="1"/>
  <c r="FL180" i="1" s="1"/>
  <c r="FK180" i="1" s="1"/>
  <c r="FV302" i="1"/>
  <c r="FW302" i="1"/>
  <c r="FY302" i="1"/>
  <c r="FT302" i="1"/>
  <c r="GA302" i="1"/>
  <c r="GG302" i="1" s="1"/>
  <c r="FS302" i="1" s="1"/>
  <c r="FO302" i="1" s="1"/>
  <c r="FL302" i="1" s="1"/>
  <c r="FK302" i="1" s="1"/>
  <c r="FZ301" i="1"/>
  <c r="GF301" i="1"/>
  <c r="GB301" i="1"/>
  <c r="GC301" i="1" s="1"/>
  <c r="GD301" i="1"/>
  <c r="GE301" i="1" s="1"/>
  <c r="FX301" i="1"/>
  <c r="DM301" i="1"/>
  <c r="DP301" i="1"/>
  <c r="DO301" i="1"/>
  <c r="DR301" i="1"/>
  <c r="DT301" i="1"/>
  <c r="DZ301" i="1" s="1"/>
  <c r="FQ303" i="1"/>
  <c r="FU303" i="1"/>
  <c r="DP180" i="1"/>
  <c r="DM180" i="1"/>
  <c r="DT180" i="1"/>
  <c r="DZ180" i="1" s="1"/>
  <c r="DO180" i="1"/>
  <c r="DR180" i="1"/>
  <c r="DL179" i="1"/>
  <c r="DH179" i="1" s="1"/>
  <c r="DE179" i="1" s="1"/>
  <c r="DD179" i="1" s="1"/>
  <c r="DS179" i="1"/>
  <c r="DU179" i="1"/>
  <c r="DV179" i="1" s="1"/>
  <c r="DW179" i="1"/>
  <c r="DX179" i="1" s="1"/>
  <c r="DQ179" i="1"/>
  <c r="DY179" i="1"/>
  <c r="DJ302" i="1"/>
  <c r="DN302" i="1"/>
  <c r="GD179" i="1"/>
  <c r="GE179" i="1" s="1"/>
  <c r="FZ179" i="1"/>
  <c r="FX179" i="1"/>
  <c r="GB179" i="1"/>
  <c r="GC179" i="1" s="1"/>
  <c r="GF179" i="1"/>
  <c r="DW300" i="1"/>
  <c r="DX300" i="1" s="1"/>
  <c r="DL300" i="1"/>
  <c r="DH300" i="1" s="1"/>
  <c r="DE300" i="1" s="1"/>
  <c r="DD300" i="1" s="1"/>
  <c r="DU300" i="1"/>
  <c r="DV300" i="1" s="1"/>
  <c r="DQ300" i="1"/>
  <c r="DY300" i="1"/>
  <c r="DS300" i="1"/>
  <c r="DG182" i="1"/>
  <c r="DJ181" i="1"/>
  <c r="DN181" i="1"/>
  <c r="EY302" i="1"/>
  <c r="EZ302" i="1" s="1"/>
  <c r="EN302" i="1"/>
  <c r="EJ302" i="1" s="1"/>
  <c r="EG302" i="1" s="1"/>
  <c r="EF302" i="1" s="1"/>
  <c r="FA302" i="1"/>
  <c r="EW302" i="1"/>
  <c r="EX302" i="1" s="1"/>
  <c r="EU302" i="1"/>
  <c r="ES302" i="1"/>
  <c r="EO303" i="1"/>
  <c r="EV303" i="1"/>
  <c r="FB303" i="1" s="1"/>
  <c r="ER303" i="1"/>
  <c r="ET303" i="1"/>
  <c r="EQ303" i="1"/>
  <c r="CE304" i="1"/>
  <c r="CI304" i="1"/>
  <c r="CB305" i="1"/>
  <c r="EP304" i="1"/>
  <c r="EL304" i="1"/>
  <c r="EI305" i="1"/>
  <c r="CK303" i="1"/>
  <c r="CH303" i="1"/>
  <c r="CO303" i="1"/>
  <c r="CU303" i="1" s="1"/>
  <c r="CM303" i="1"/>
  <c r="CJ303" i="1"/>
  <c r="CG302" i="1"/>
  <c r="CC302" i="1" s="1"/>
  <c r="BZ302" i="1" s="1"/>
  <c r="BY302" i="1" s="1"/>
  <c r="CT302" i="1"/>
  <c r="CL302" i="1"/>
  <c r="CR302" i="1"/>
  <c r="CS302" i="1" s="1"/>
  <c r="CP302" i="1"/>
  <c r="CQ302" i="1" s="1"/>
  <c r="CN302" i="1"/>
  <c r="DG303" i="1"/>
  <c r="FN304" i="1"/>
  <c r="ER183" i="1"/>
  <c r="EQ183" i="1"/>
  <c r="EV183" i="1"/>
  <c r="FB183" i="1" s="1"/>
  <c r="EO183" i="1"/>
  <c r="ET183" i="1"/>
  <c r="EI185" i="1"/>
  <c r="EL184" i="1"/>
  <c r="EP184" i="1"/>
  <c r="EN182" i="1"/>
  <c r="EJ182" i="1" s="1"/>
  <c r="EG182" i="1" s="1"/>
  <c r="EF182" i="1" s="1"/>
  <c r="EU182" i="1"/>
  <c r="ES182" i="1"/>
  <c r="FA182" i="1"/>
  <c r="EY182" i="1"/>
  <c r="EZ182" i="1" s="1"/>
  <c r="EW182" i="1"/>
  <c r="EX182" i="1" s="1"/>
  <c r="CT183" i="1"/>
  <c r="CL183" i="1"/>
  <c r="CG183" i="1"/>
  <c r="CC183" i="1" s="1"/>
  <c r="BZ183" i="1" s="1"/>
  <c r="BY183" i="1" s="1"/>
  <c r="CR183" i="1"/>
  <c r="CS183" i="1" s="1"/>
  <c r="CP183" i="1"/>
  <c r="CQ183" i="1" s="1"/>
  <c r="CN183" i="1"/>
  <c r="CI185" i="1"/>
  <c r="CE185" i="1"/>
  <c r="CB186" i="1"/>
  <c r="CH184" i="1"/>
  <c r="CM184" i="1"/>
  <c r="CJ184" i="1"/>
  <c r="CK184" i="1"/>
  <c r="CO184" i="1"/>
  <c r="CU184" i="1" s="1"/>
  <c r="EL64" i="1"/>
  <c r="EI65" i="1"/>
  <c r="EP64" i="1"/>
  <c r="DO60" i="1"/>
  <c r="DM60" i="1"/>
  <c r="DP60" i="1"/>
  <c r="DR60" i="1"/>
  <c r="DT60" i="1"/>
  <c r="DZ60" i="1" s="1"/>
  <c r="EN62" i="1"/>
  <c r="EJ62" i="1" s="1"/>
  <c r="EG62" i="1" s="1"/>
  <c r="EF62" i="1" s="1"/>
  <c r="EU62" i="1"/>
  <c r="FA62" i="1"/>
  <c r="EW62" i="1"/>
  <c r="EX62" i="1" s="1"/>
  <c r="EY62" i="1"/>
  <c r="EZ62" i="1" s="1"/>
  <c r="ES62" i="1"/>
  <c r="DJ61" i="1"/>
  <c r="DG62" i="1"/>
  <c r="DN61" i="1"/>
  <c r="CN60" i="1"/>
  <c r="CT60" i="1"/>
  <c r="CG60" i="1"/>
  <c r="CC60" i="1" s="1"/>
  <c r="BZ60" i="1" s="1"/>
  <c r="BY60" i="1" s="1"/>
  <c r="CL60" i="1"/>
  <c r="CP60" i="1"/>
  <c r="CQ60" i="1" s="1"/>
  <c r="CR60" i="1"/>
  <c r="CS60" i="1" s="1"/>
  <c r="CH61" i="1"/>
  <c r="CJ61" i="1"/>
  <c r="CK61" i="1"/>
  <c r="CM61" i="1"/>
  <c r="CO61" i="1"/>
  <c r="CU61" i="1" s="1"/>
  <c r="GB59" i="1"/>
  <c r="GC59" i="1" s="1"/>
  <c r="FX59" i="1"/>
  <c r="GF59" i="1"/>
  <c r="GD59" i="1"/>
  <c r="GE59" i="1" s="1"/>
  <c r="FZ59" i="1"/>
  <c r="FT60" i="1"/>
  <c r="FV60" i="1"/>
  <c r="FW60" i="1"/>
  <c r="FY60" i="1"/>
  <c r="GA60" i="1"/>
  <c r="GG60" i="1" s="1"/>
  <c r="FS60" i="1" s="1"/>
  <c r="FO60" i="1" s="1"/>
  <c r="FL60" i="1" s="1"/>
  <c r="FK60" i="1" s="1"/>
  <c r="CB63" i="1"/>
  <c r="CE62" i="1"/>
  <c r="CI62" i="1"/>
  <c r="DY59" i="1"/>
  <c r="DS59" i="1"/>
  <c r="DU59" i="1"/>
  <c r="DV59" i="1" s="1"/>
  <c r="DW59" i="1"/>
  <c r="DX59" i="1" s="1"/>
  <c r="DQ59" i="1"/>
  <c r="DL59" i="1"/>
  <c r="DH59" i="1" s="1"/>
  <c r="DE59" i="1" s="1"/>
  <c r="DD59" i="1" s="1"/>
  <c r="ER63" i="1"/>
  <c r="EO63" i="1"/>
  <c r="EV63" i="1"/>
  <c r="FB63" i="1" s="1"/>
  <c r="ET63" i="1"/>
  <c r="EQ63" i="1"/>
  <c r="FN62" i="1"/>
  <c r="FQ61" i="1"/>
  <c r="FU61" i="1"/>
  <c r="DM302" i="1" l="1"/>
  <c r="DP302" i="1"/>
  <c r="DR302" i="1"/>
  <c r="DO302" i="1"/>
  <c r="DT302" i="1"/>
  <c r="DZ302" i="1" s="1"/>
  <c r="GD180" i="1"/>
  <c r="GE180" i="1" s="1"/>
  <c r="GF180" i="1"/>
  <c r="FX180" i="1"/>
  <c r="GB180" i="1"/>
  <c r="GC180" i="1" s="1"/>
  <c r="FZ180" i="1"/>
  <c r="DP181" i="1"/>
  <c r="DO181" i="1"/>
  <c r="DR181" i="1"/>
  <c r="DT181" i="1"/>
  <c r="DZ181" i="1" s="1"/>
  <c r="DM181" i="1"/>
  <c r="GB302" i="1"/>
  <c r="GC302" i="1" s="1"/>
  <c r="GD302" i="1"/>
  <c r="GE302" i="1" s="1"/>
  <c r="GF302" i="1"/>
  <c r="FX302" i="1"/>
  <c r="FZ302" i="1"/>
  <c r="DQ180" i="1"/>
  <c r="DW180" i="1"/>
  <c r="DX180" i="1" s="1"/>
  <c r="DL180" i="1"/>
  <c r="DH180" i="1" s="1"/>
  <c r="DE180" i="1" s="1"/>
  <c r="DD180" i="1" s="1"/>
  <c r="DY180" i="1"/>
  <c r="DS180" i="1"/>
  <c r="DU180" i="1"/>
  <c r="DV180" i="1" s="1"/>
  <c r="DS301" i="1"/>
  <c r="DL301" i="1"/>
  <c r="DH301" i="1" s="1"/>
  <c r="DE301" i="1" s="1"/>
  <c r="DD301" i="1" s="1"/>
  <c r="DU301" i="1"/>
  <c r="DV301" i="1" s="1"/>
  <c r="DQ301" i="1"/>
  <c r="DY301" i="1"/>
  <c r="DW301" i="1"/>
  <c r="DX301" i="1" s="1"/>
  <c r="FQ182" i="1"/>
  <c r="FU182" i="1"/>
  <c r="FN183" i="1"/>
  <c r="FQ304" i="1"/>
  <c r="FU304" i="1"/>
  <c r="DG183" i="1"/>
  <c r="DJ182" i="1"/>
  <c r="DN182" i="1"/>
  <c r="FT181" i="1"/>
  <c r="FV181" i="1"/>
  <c r="FW181" i="1"/>
  <c r="FY181" i="1"/>
  <c r="GA181" i="1"/>
  <c r="GG181" i="1" s="1"/>
  <c r="FS181" i="1" s="1"/>
  <c r="FO181" i="1" s="1"/>
  <c r="FL181" i="1" s="1"/>
  <c r="FK181" i="1" s="1"/>
  <c r="DJ303" i="1"/>
  <c r="DN303" i="1"/>
  <c r="FV303" i="1"/>
  <c r="FT303" i="1"/>
  <c r="FY303" i="1"/>
  <c r="FW303" i="1"/>
  <c r="GA303" i="1"/>
  <c r="GG303" i="1" s="1"/>
  <c r="FS303" i="1" s="1"/>
  <c r="FO303" i="1" s="1"/>
  <c r="FL303" i="1" s="1"/>
  <c r="FK303" i="1" s="1"/>
  <c r="CJ304" i="1"/>
  <c r="CO304" i="1"/>
  <c r="CU304" i="1" s="1"/>
  <c r="CH304" i="1"/>
  <c r="CM304" i="1"/>
  <c r="CK304" i="1"/>
  <c r="FN305" i="1"/>
  <c r="CR303" i="1"/>
  <c r="CS303" i="1" s="1"/>
  <c r="CT303" i="1"/>
  <c r="CP303" i="1"/>
  <c r="CQ303" i="1" s="1"/>
  <c r="CG303" i="1"/>
  <c r="CC303" i="1" s="1"/>
  <c r="BZ303" i="1" s="1"/>
  <c r="BY303" i="1" s="1"/>
  <c r="CN303" i="1"/>
  <c r="CL303" i="1"/>
  <c r="DG304" i="1"/>
  <c r="CE305" i="1"/>
  <c r="CI305" i="1"/>
  <c r="CB306" i="1"/>
  <c r="EP305" i="1"/>
  <c r="EL305" i="1"/>
  <c r="EI306" i="1"/>
  <c r="EO304" i="1"/>
  <c r="EV304" i="1"/>
  <c r="FB304" i="1" s="1"/>
  <c r="ER304" i="1"/>
  <c r="ET304" i="1"/>
  <c r="EQ304" i="1"/>
  <c r="EW303" i="1"/>
  <c r="EX303" i="1" s="1"/>
  <c r="FA303" i="1"/>
  <c r="ES303" i="1"/>
  <c r="EU303" i="1"/>
  <c r="EY303" i="1"/>
  <c r="EZ303" i="1" s="1"/>
  <c r="EN303" i="1"/>
  <c r="EJ303" i="1" s="1"/>
  <c r="EG303" i="1" s="1"/>
  <c r="EF303" i="1" s="1"/>
  <c r="EV184" i="1"/>
  <c r="FB184" i="1" s="1"/>
  <c r="ER184" i="1"/>
  <c r="EQ184" i="1"/>
  <c r="EO184" i="1"/>
  <c r="ET184" i="1"/>
  <c r="CI186" i="1"/>
  <c r="CB187" i="1"/>
  <c r="CE186" i="1"/>
  <c r="CP184" i="1"/>
  <c r="CQ184" i="1" s="1"/>
  <c r="CN184" i="1"/>
  <c r="CT184" i="1"/>
  <c r="CG184" i="1"/>
  <c r="CC184" i="1" s="1"/>
  <c r="BZ184" i="1" s="1"/>
  <c r="BY184" i="1" s="1"/>
  <c r="CL184" i="1"/>
  <c r="CR184" i="1"/>
  <c r="CS184" i="1" s="1"/>
  <c r="EI186" i="1"/>
  <c r="EP185" i="1"/>
  <c r="EL185" i="1"/>
  <c r="CM185" i="1"/>
  <c r="CK185" i="1"/>
  <c r="CO185" i="1"/>
  <c r="CU185" i="1" s="1"/>
  <c r="CJ185" i="1"/>
  <c r="CH185" i="1"/>
  <c r="EY183" i="1"/>
  <c r="EZ183" i="1" s="1"/>
  <c r="EN183" i="1"/>
  <c r="EJ183" i="1" s="1"/>
  <c r="EG183" i="1" s="1"/>
  <c r="EF183" i="1" s="1"/>
  <c r="EW183" i="1"/>
  <c r="EX183" i="1" s="1"/>
  <c r="EU183" i="1"/>
  <c r="FA183" i="1"/>
  <c r="ES183" i="1"/>
  <c r="CT61" i="1"/>
  <c r="CG61" i="1"/>
  <c r="CC61" i="1" s="1"/>
  <c r="BZ61" i="1" s="1"/>
  <c r="BY61" i="1" s="1"/>
  <c r="CP61" i="1"/>
  <c r="CQ61" i="1" s="1"/>
  <c r="CL61" i="1"/>
  <c r="CR61" i="1"/>
  <c r="CS61" i="1" s="1"/>
  <c r="CN61" i="1"/>
  <c r="DJ62" i="1"/>
  <c r="DG63" i="1"/>
  <c r="DN62" i="1"/>
  <c r="FN63" i="1"/>
  <c r="FQ62" i="1"/>
  <c r="FU62" i="1"/>
  <c r="DS60" i="1"/>
  <c r="DW60" i="1"/>
  <c r="DX60" i="1" s="1"/>
  <c r="DU60" i="1"/>
  <c r="DV60" i="1" s="1"/>
  <c r="DQ60" i="1"/>
  <c r="DY60" i="1"/>
  <c r="DL60" i="1"/>
  <c r="DH60" i="1" s="1"/>
  <c r="DE60" i="1" s="1"/>
  <c r="DD60" i="1" s="1"/>
  <c r="EQ64" i="1"/>
  <c r="EO64" i="1"/>
  <c r="ER64" i="1"/>
  <c r="EV64" i="1"/>
  <c r="FB64" i="1" s="1"/>
  <c r="ET64" i="1"/>
  <c r="CB64" i="1"/>
  <c r="CE63" i="1"/>
  <c r="CI63" i="1"/>
  <c r="FZ60" i="1"/>
  <c r="GB60" i="1"/>
  <c r="GC60" i="1" s="1"/>
  <c r="GD60" i="1"/>
  <c r="GE60" i="1" s="1"/>
  <c r="FX60" i="1"/>
  <c r="GF60" i="1"/>
  <c r="EL65" i="1"/>
  <c r="EI66" i="1"/>
  <c r="EP65" i="1"/>
  <c r="GA61" i="1"/>
  <c r="GG61" i="1" s="1"/>
  <c r="FS61" i="1" s="1"/>
  <c r="FO61" i="1" s="1"/>
  <c r="FL61" i="1" s="1"/>
  <c r="FK61" i="1" s="1"/>
  <c r="FT61" i="1"/>
  <c r="FY61" i="1"/>
  <c r="FV61" i="1"/>
  <c r="FW61" i="1"/>
  <c r="EY63" i="1"/>
  <c r="EZ63" i="1" s="1"/>
  <c r="ES63" i="1"/>
  <c r="EU63" i="1"/>
  <c r="EN63" i="1"/>
  <c r="EJ63" i="1" s="1"/>
  <c r="EG63" i="1" s="1"/>
  <c r="EF63" i="1" s="1"/>
  <c r="FA63" i="1"/>
  <c r="EW63" i="1"/>
  <c r="EX63" i="1" s="1"/>
  <c r="CO62" i="1"/>
  <c r="CU62" i="1" s="1"/>
  <c r="CM62" i="1"/>
  <c r="CH62" i="1"/>
  <c r="CK62" i="1"/>
  <c r="CJ62" i="1"/>
  <c r="DP61" i="1"/>
  <c r="DO61" i="1"/>
  <c r="DT61" i="1"/>
  <c r="DZ61" i="1" s="1"/>
  <c r="DM61" i="1"/>
  <c r="DR61" i="1"/>
  <c r="DJ304" i="1" l="1"/>
  <c r="DN304" i="1"/>
  <c r="DR182" i="1"/>
  <c r="DT182" i="1"/>
  <c r="DZ182" i="1" s="1"/>
  <c r="DO182" i="1"/>
  <c r="DP182" i="1"/>
  <c r="DM182" i="1"/>
  <c r="DR303" i="1"/>
  <c r="DM303" i="1"/>
  <c r="DO303" i="1"/>
  <c r="DP303" i="1"/>
  <c r="DT303" i="1"/>
  <c r="DZ303" i="1" s="1"/>
  <c r="DL181" i="1"/>
  <c r="DH181" i="1" s="1"/>
  <c r="DE181" i="1" s="1"/>
  <c r="DD181" i="1" s="1"/>
  <c r="DU181" i="1"/>
  <c r="DV181" i="1" s="1"/>
  <c r="DQ181" i="1"/>
  <c r="DW181" i="1"/>
  <c r="DX181" i="1" s="1"/>
  <c r="DY181" i="1"/>
  <c r="DS181" i="1"/>
  <c r="DG184" i="1"/>
  <c r="DN183" i="1"/>
  <c r="DJ183" i="1"/>
  <c r="FY304" i="1"/>
  <c r="FW304" i="1"/>
  <c r="FV304" i="1"/>
  <c r="FT304" i="1"/>
  <c r="GA304" i="1"/>
  <c r="GG304" i="1" s="1"/>
  <c r="FS304" i="1" s="1"/>
  <c r="FO304" i="1" s="1"/>
  <c r="FL304" i="1" s="1"/>
  <c r="FK304" i="1" s="1"/>
  <c r="FQ183" i="1"/>
  <c r="FU183" i="1"/>
  <c r="FN184" i="1"/>
  <c r="FT182" i="1"/>
  <c r="FY182" i="1"/>
  <c r="FV182" i="1"/>
  <c r="FW182" i="1"/>
  <c r="GA182" i="1"/>
  <c r="GG182" i="1" s="1"/>
  <c r="FS182" i="1" s="1"/>
  <c r="FO182" i="1" s="1"/>
  <c r="FL182" i="1" s="1"/>
  <c r="FK182" i="1" s="1"/>
  <c r="FQ305" i="1"/>
  <c r="FU305" i="1"/>
  <c r="FZ303" i="1"/>
  <c r="GB303" i="1"/>
  <c r="GC303" i="1" s="1"/>
  <c r="GD303" i="1"/>
  <c r="GE303" i="1" s="1"/>
  <c r="FX303" i="1"/>
  <c r="GF303" i="1"/>
  <c r="FX181" i="1"/>
  <c r="GB181" i="1"/>
  <c r="GC181" i="1" s="1"/>
  <c r="GD181" i="1"/>
  <c r="GE181" i="1" s="1"/>
  <c r="GF181" i="1"/>
  <c r="FZ181" i="1"/>
  <c r="DQ302" i="1"/>
  <c r="DY302" i="1"/>
  <c r="DU302" i="1"/>
  <c r="DV302" i="1" s="1"/>
  <c r="DW302" i="1"/>
  <c r="DX302" i="1" s="1"/>
  <c r="DL302" i="1"/>
  <c r="DH302" i="1" s="1"/>
  <c r="DE302" i="1" s="1"/>
  <c r="DD302" i="1" s="1"/>
  <c r="DS302" i="1"/>
  <c r="EI307" i="1"/>
  <c r="EP306" i="1"/>
  <c r="EL306" i="1"/>
  <c r="CE306" i="1"/>
  <c r="CI306" i="1"/>
  <c r="CB307" i="1"/>
  <c r="EO305" i="1"/>
  <c r="EV305" i="1"/>
  <c r="FB305" i="1" s="1"/>
  <c r="ER305" i="1"/>
  <c r="ET305" i="1"/>
  <c r="EQ305" i="1"/>
  <c r="DG305" i="1"/>
  <c r="FN306" i="1"/>
  <c r="CN304" i="1"/>
  <c r="CR304" i="1"/>
  <c r="CS304" i="1" s="1"/>
  <c r="CT304" i="1"/>
  <c r="CG304" i="1"/>
  <c r="CC304" i="1" s="1"/>
  <c r="BZ304" i="1" s="1"/>
  <c r="BY304" i="1" s="1"/>
  <c r="CP304" i="1"/>
  <c r="CQ304" i="1" s="1"/>
  <c r="CL304" i="1"/>
  <c r="CJ305" i="1"/>
  <c r="CO305" i="1"/>
  <c r="CU305" i="1" s="1"/>
  <c r="CM305" i="1"/>
  <c r="CK305" i="1"/>
  <c r="CH305" i="1"/>
  <c r="FA304" i="1"/>
  <c r="ES304" i="1"/>
  <c r="EW304" i="1"/>
  <c r="EX304" i="1" s="1"/>
  <c r="EU304" i="1"/>
  <c r="EN304" i="1"/>
  <c r="EJ304" i="1" s="1"/>
  <c r="EG304" i="1" s="1"/>
  <c r="EF304" i="1" s="1"/>
  <c r="EY304" i="1"/>
  <c r="EZ304" i="1" s="1"/>
  <c r="ER185" i="1"/>
  <c r="EQ185" i="1"/>
  <c r="EV185" i="1"/>
  <c r="FB185" i="1" s="1"/>
  <c r="EO185" i="1"/>
  <c r="ET185" i="1"/>
  <c r="EI187" i="1"/>
  <c r="EL186" i="1"/>
  <c r="EP186" i="1"/>
  <c r="CI187" i="1"/>
  <c r="CB188" i="1"/>
  <c r="CE187" i="1"/>
  <c r="EN184" i="1"/>
  <c r="EJ184" i="1" s="1"/>
  <c r="EG184" i="1" s="1"/>
  <c r="EF184" i="1" s="1"/>
  <c r="EU184" i="1"/>
  <c r="EY184" i="1"/>
  <c r="EZ184" i="1" s="1"/>
  <c r="FA184" i="1"/>
  <c r="EW184" i="1"/>
  <c r="EX184" i="1" s="1"/>
  <c r="ES184" i="1"/>
  <c r="CT185" i="1"/>
  <c r="CL185" i="1"/>
  <c r="CR185" i="1"/>
  <c r="CS185" i="1" s="1"/>
  <c r="CN185" i="1"/>
  <c r="CG185" i="1"/>
  <c r="CC185" i="1" s="1"/>
  <c r="BZ185" i="1" s="1"/>
  <c r="BY185" i="1" s="1"/>
  <c r="CP185" i="1"/>
  <c r="CQ185" i="1" s="1"/>
  <c r="CH186" i="1"/>
  <c r="CM186" i="1"/>
  <c r="CO186" i="1"/>
  <c r="CU186" i="1" s="1"/>
  <c r="CK186" i="1"/>
  <c r="CJ186" i="1"/>
  <c r="DL61" i="1"/>
  <c r="DH61" i="1" s="1"/>
  <c r="DE61" i="1" s="1"/>
  <c r="DD61" i="1" s="1"/>
  <c r="DS61" i="1"/>
  <c r="DU61" i="1"/>
  <c r="DV61" i="1" s="1"/>
  <c r="DQ61" i="1"/>
  <c r="DY61" i="1"/>
  <c r="DW61" i="1"/>
  <c r="DX61" i="1" s="1"/>
  <c r="CT62" i="1"/>
  <c r="CP62" i="1"/>
  <c r="CQ62" i="1" s="1"/>
  <c r="CG62" i="1"/>
  <c r="CC62" i="1" s="1"/>
  <c r="BZ62" i="1" s="1"/>
  <c r="BY62" i="1" s="1"/>
  <c r="CL62" i="1"/>
  <c r="CR62" i="1"/>
  <c r="CS62" i="1" s="1"/>
  <c r="CN62" i="1"/>
  <c r="CB65" i="1"/>
  <c r="CE64" i="1"/>
  <c r="CI64" i="1"/>
  <c r="DG64" i="1"/>
  <c r="DJ63" i="1"/>
  <c r="DN63" i="1"/>
  <c r="GF61" i="1"/>
  <c r="GB61" i="1"/>
  <c r="GC61" i="1" s="1"/>
  <c r="GD61" i="1"/>
  <c r="GE61" i="1" s="1"/>
  <c r="FZ61" i="1"/>
  <c r="FX61" i="1"/>
  <c r="EW64" i="1"/>
  <c r="EX64" i="1" s="1"/>
  <c r="FA64" i="1"/>
  <c r="EU64" i="1"/>
  <c r="EY64" i="1"/>
  <c r="EZ64" i="1" s="1"/>
  <c r="ES64" i="1"/>
  <c r="EN64" i="1"/>
  <c r="EJ64" i="1" s="1"/>
  <c r="EG64" i="1" s="1"/>
  <c r="EF64" i="1" s="1"/>
  <c r="FT62" i="1"/>
  <c r="FV62" i="1"/>
  <c r="FW62" i="1"/>
  <c r="GA62" i="1"/>
  <c r="GG62" i="1" s="1"/>
  <c r="FS62" i="1" s="1"/>
  <c r="FO62" i="1" s="1"/>
  <c r="FL62" i="1" s="1"/>
  <c r="FK62" i="1" s="1"/>
  <c r="FY62" i="1"/>
  <c r="ET65" i="1"/>
  <c r="EV65" i="1"/>
  <c r="FB65" i="1" s="1"/>
  <c r="ER65" i="1"/>
  <c r="EQ65" i="1"/>
  <c r="EO65" i="1"/>
  <c r="CJ63" i="1"/>
  <c r="CK63" i="1"/>
  <c r="CH63" i="1"/>
  <c r="CM63" i="1"/>
  <c r="CO63" i="1"/>
  <c r="CU63" i="1" s="1"/>
  <c r="FN64" i="1"/>
  <c r="FQ63" i="1"/>
  <c r="FU63" i="1"/>
  <c r="EI67" i="1"/>
  <c r="EL66" i="1"/>
  <c r="EP66" i="1"/>
  <c r="DP62" i="1"/>
  <c r="DR62" i="1"/>
  <c r="DM62" i="1"/>
  <c r="DO62" i="1"/>
  <c r="DT62" i="1"/>
  <c r="DZ62" i="1" s="1"/>
  <c r="DJ305" i="1" l="1"/>
  <c r="DN305" i="1"/>
  <c r="DL182" i="1"/>
  <c r="DH182" i="1" s="1"/>
  <c r="DE182" i="1" s="1"/>
  <c r="DD182" i="1" s="1"/>
  <c r="DQ182" i="1"/>
  <c r="DY182" i="1"/>
  <c r="DS182" i="1"/>
  <c r="DU182" i="1"/>
  <c r="DV182" i="1" s="1"/>
  <c r="DW182" i="1"/>
  <c r="DX182" i="1" s="1"/>
  <c r="FX182" i="1"/>
  <c r="FZ182" i="1"/>
  <c r="GB182" i="1"/>
  <c r="GC182" i="1" s="1"/>
  <c r="GD182" i="1"/>
  <c r="GE182" i="1" s="1"/>
  <c r="GF182" i="1"/>
  <c r="FQ184" i="1"/>
  <c r="FU184" i="1"/>
  <c r="FN185" i="1"/>
  <c r="FV305" i="1"/>
  <c r="FW305" i="1"/>
  <c r="FY305" i="1"/>
  <c r="FT305" i="1"/>
  <c r="GA305" i="1"/>
  <c r="GG305" i="1" s="1"/>
  <c r="FS305" i="1" s="1"/>
  <c r="FO305" i="1" s="1"/>
  <c r="FL305" i="1" s="1"/>
  <c r="FK305" i="1" s="1"/>
  <c r="FY183" i="1"/>
  <c r="FT183" i="1"/>
  <c r="FW183" i="1"/>
  <c r="FV183" i="1"/>
  <c r="GA183" i="1"/>
  <c r="GG183" i="1" s="1"/>
  <c r="FS183" i="1" s="1"/>
  <c r="FO183" i="1" s="1"/>
  <c r="FL183" i="1" s="1"/>
  <c r="FK183" i="1" s="1"/>
  <c r="DP183" i="1"/>
  <c r="DR183" i="1"/>
  <c r="DT183" i="1"/>
  <c r="DZ183" i="1" s="1"/>
  <c r="DM183" i="1"/>
  <c r="DO183" i="1"/>
  <c r="DG185" i="1"/>
  <c r="DN184" i="1"/>
  <c r="DJ184" i="1"/>
  <c r="DO304" i="1"/>
  <c r="DM304" i="1"/>
  <c r="DR304" i="1"/>
  <c r="DP304" i="1"/>
  <c r="DT304" i="1"/>
  <c r="DZ304" i="1" s="1"/>
  <c r="FQ306" i="1"/>
  <c r="FU306" i="1"/>
  <c r="GB304" i="1"/>
  <c r="GC304" i="1" s="1"/>
  <c r="FZ304" i="1"/>
  <c r="GD304" i="1"/>
  <c r="GE304" i="1" s="1"/>
  <c r="GF304" i="1"/>
  <c r="FX304" i="1"/>
  <c r="DU303" i="1"/>
  <c r="DV303" i="1" s="1"/>
  <c r="DQ303" i="1"/>
  <c r="DL303" i="1"/>
  <c r="DH303" i="1" s="1"/>
  <c r="DE303" i="1" s="1"/>
  <c r="DD303" i="1" s="1"/>
  <c r="DY303" i="1"/>
  <c r="DW303" i="1"/>
  <c r="DX303" i="1" s="1"/>
  <c r="DS303" i="1"/>
  <c r="CR305" i="1"/>
  <c r="CS305" i="1" s="1"/>
  <c r="CN305" i="1"/>
  <c r="CT305" i="1"/>
  <c r="CG305" i="1"/>
  <c r="CC305" i="1" s="1"/>
  <c r="BZ305" i="1" s="1"/>
  <c r="BY305" i="1" s="1"/>
  <c r="CP305" i="1"/>
  <c r="CQ305" i="1" s="1"/>
  <c r="CL305" i="1"/>
  <c r="EW305" i="1"/>
  <c r="EX305" i="1" s="1"/>
  <c r="FA305" i="1"/>
  <c r="ES305" i="1"/>
  <c r="EU305" i="1"/>
  <c r="EY305" i="1"/>
  <c r="EZ305" i="1" s="1"/>
  <c r="EN305" i="1"/>
  <c r="EJ305" i="1" s="1"/>
  <c r="EG305" i="1" s="1"/>
  <c r="EF305" i="1" s="1"/>
  <c r="CE307" i="1"/>
  <c r="CI307" i="1"/>
  <c r="CB308" i="1"/>
  <c r="FN307" i="1"/>
  <c r="EO306" i="1"/>
  <c r="EV306" i="1"/>
  <c r="FB306" i="1" s="1"/>
  <c r="ER306" i="1"/>
  <c r="ET306" i="1"/>
  <c r="EQ306" i="1"/>
  <c r="CJ306" i="1"/>
  <c r="CO306" i="1"/>
  <c r="CU306" i="1" s="1"/>
  <c r="CH306" i="1"/>
  <c r="CK306" i="1"/>
  <c r="CM306" i="1"/>
  <c r="DG306" i="1"/>
  <c r="EI308" i="1"/>
  <c r="EP307" i="1"/>
  <c r="EL307" i="1"/>
  <c r="CI188" i="1"/>
  <c r="CB189" i="1"/>
  <c r="CE188" i="1"/>
  <c r="CM187" i="1"/>
  <c r="CK187" i="1"/>
  <c r="CJ187" i="1"/>
  <c r="CH187" i="1"/>
  <c r="CO187" i="1"/>
  <c r="CU187" i="1" s="1"/>
  <c r="EV186" i="1"/>
  <c r="FB186" i="1" s="1"/>
  <c r="ER186" i="1"/>
  <c r="EQ186" i="1"/>
  <c r="ET186" i="1"/>
  <c r="EO186" i="1"/>
  <c r="CP186" i="1"/>
  <c r="CQ186" i="1" s="1"/>
  <c r="CT186" i="1"/>
  <c r="CG186" i="1"/>
  <c r="CC186" i="1" s="1"/>
  <c r="BZ186" i="1" s="1"/>
  <c r="BY186" i="1" s="1"/>
  <c r="CN186" i="1"/>
  <c r="CL186" i="1"/>
  <c r="CR186" i="1"/>
  <c r="CS186" i="1" s="1"/>
  <c r="EI188" i="1"/>
  <c r="EP187" i="1"/>
  <c r="EL187" i="1"/>
  <c r="EY185" i="1"/>
  <c r="EZ185" i="1" s="1"/>
  <c r="EN185" i="1"/>
  <c r="EJ185" i="1" s="1"/>
  <c r="EG185" i="1" s="1"/>
  <c r="EF185" i="1" s="1"/>
  <c r="EU185" i="1"/>
  <c r="FA185" i="1"/>
  <c r="EW185" i="1"/>
  <c r="EX185" i="1" s="1"/>
  <c r="ES185" i="1"/>
  <c r="EI68" i="1"/>
  <c r="EL67" i="1"/>
  <c r="EP67" i="1"/>
  <c r="DJ64" i="1"/>
  <c r="DG65" i="1"/>
  <c r="DN64" i="1"/>
  <c r="EN65" i="1"/>
  <c r="EJ65" i="1" s="1"/>
  <c r="EG65" i="1" s="1"/>
  <c r="EF65" i="1" s="1"/>
  <c r="ES65" i="1"/>
  <c r="EU65" i="1"/>
  <c r="FA65" i="1"/>
  <c r="EW65" i="1"/>
  <c r="EX65" i="1" s="1"/>
  <c r="EY65" i="1"/>
  <c r="EZ65" i="1" s="1"/>
  <c r="CM64" i="1"/>
  <c r="CO64" i="1"/>
  <c r="CU64" i="1" s="1"/>
  <c r="CH64" i="1"/>
  <c r="CJ64" i="1"/>
  <c r="CK64" i="1"/>
  <c r="GF62" i="1"/>
  <c r="GB62" i="1"/>
  <c r="GC62" i="1" s="1"/>
  <c r="FX62" i="1"/>
  <c r="FZ62" i="1"/>
  <c r="GD62" i="1"/>
  <c r="GE62" i="1" s="1"/>
  <c r="FN65" i="1"/>
  <c r="FQ64" i="1"/>
  <c r="FU64" i="1"/>
  <c r="CB66" i="1"/>
  <c r="CE65" i="1"/>
  <c r="CI65" i="1"/>
  <c r="FT63" i="1"/>
  <c r="GA63" i="1"/>
  <c r="GG63" i="1" s="1"/>
  <c r="FS63" i="1" s="1"/>
  <c r="FO63" i="1" s="1"/>
  <c r="FL63" i="1" s="1"/>
  <c r="FK63" i="1" s="1"/>
  <c r="FY63" i="1"/>
  <c r="FV63" i="1"/>
  <c r="FW63" i="1"/>
  <c r="DY62" i="1"/>
  <c r="DS62" i="1"/>
  <c r="DW62" i="1"/>
  <c r="DX62" i="1" s="1"/>
  <c r="DQ62" i="1"/>
  <c r="DL62" i="1"/>
  <c r="DH62" i="1" s="1"/>
  <c r="DE62" i="1" s="1"/>
  <c r="DD62" i="1" s="1"/>
  <c r="DU62" i="1"/>
  <c r="DV62" i="1" s="1"/>
  <c r="EQ66" i="1"/>
  <c r="EO66" i="1"/>
  <c r="EV66" i="1"/>
  <c r="FB66" i="1" s="1"/>
  <c r="ER66" i="1"/>
  <c r="ET66" i="1"/>
  <c r="CN63" i="1"/>
  <c r="CL63" i="1"/>
  <c r="CT63" i="1"/>
  <c r="CP63" i="1"/>
  <c r="CQ63" i="1" s="1"/>
  <c r="CR63" i="1"/>
  <c r="CS63" i="1" s="1"/>
  <c r="CG63" i="1"/>
  <c r="CC63" i="1" s="1"/>
  <c r="BZ63" i="1" s="1"/>
  <c r="BY63" i="1" s="1"/>
  <c r="DM63" i="1"/>
  <c r="DO63" i="1"/>
  <c r="DR63" i="1"/>
  <c r="DP63" i="1"/>
  <c r="DT63" i="1"/>
  <c r="DZ63" i="1" s="1"/>
  <c r="DG186" i="1" l="1"/>
  <c r="DJ185" i="1"/>
  <c r="DN185" i="1"/>
  <c r="FQ185" i="1"/>
  <c r="FU185" i="1"/>
  <c r="FN186" i="1"/>
  <c r="DJ306" i="1"/>
  <c r="DN306" i="1"/>
  <c r="GF183" i="1"/>
  <c r="GD183" i="1"/>
  <c r="GE183" i="1" s="1"/>
  <c r="FX183" i="1"/>
  <c r="FZ183" i="1"/>
  <c r="GB183" i="1"/>
  <c r="GC183" i="1" s="1"/>
  <c r="FW184" i="1"/>
  <c r="FY184" i="1"/>
  <c r="FT184" i="1"/>
  <c r="FV184" i="1"/>
  <c r="GA184" i="1"/>
  <c r="GG184" i="1" s="1"/>
  <c r="FS184" i="1" s="1"/>
  <c r="FO184" i="1" s="1"/>
  <c r="FL184" i="1" s="1"/>
  <c r="FK184" i="1" s="1"/>
  <c r="DQ183" i="1"/>
  <c r="DY183" i="1"/>
  <c r="DS183" i="1"/>
  <c r="DL183" i="1"/>
  <c r="DH183" i="1" s="1"/>
  <c r="DE183" i="1" s="1"/>
  <c r="DD183" i="1" s="1"/>
  <c r="DU183" i="1"/>
  <c r="DV183" i="1" s="1"/>
  <c r="DW183" i="1"/>
  <c r="DX183" i="1" s="1"/>
  <c r="DL304" i="1"/>
  <c r="DH304" i="1" s="1"/>
  <c r="DE304" i="1" s="1"/>
  <c r="DD304" i="1" s="1"/>
  <c r="DW304" i="1"/>
  <c r="DX304" i="1" s="1"/>
  <c r="DQ304" i="1"/>
  <c r="DY304" i="1"/>
  <c r="DU304" i="1"/>
  <c r="DV304" i="1" s="1"/>
  <c r="DS304" i="1"/>
  <c r="GD305" i="1"/>
  <c r="GE305" i="1" s="1"/>
  <c r="GB305" i="1"/>
  <c r="GC305" i="1" s="1"/>
  <c r="GF305" i="1"/>
  <c r="FX305" i="1"/>
  <c r="FZ305" i="1"/>
  <c r="FQ307" i="1"/>
  <c r="FU307" i="1"/>
  <c r="DR305" i="1"/>
  <c r="DO305" i="1"/>
  <c r="DP305" i="1"/>
  <c r="DM305" i="1"/>
  <c r="DT305" i="1"/>
  <c r="DZ305" i="1" s="1"/>
  <c r="FV306" i="1"/>
  <c r="FW306" i="1"/>
  <c r="FT306" i="1"/>
  <c r="FY306" i="1"/>
  <c r="GA306" i="1"/>
  <c r="GG306" i="1" s="1"/>
  <c r="FS306" i="1" s="1"/>
  <c r="FO306" i="1" s="1"/>
  <c r="FL306" i="1" s="1"/>
  <c r="FK306" i="1" s="1"/>
  <c r="DR184" i="1"/>
  <c r="DM184" i="1"/>
  <c r="DT184" i="1"/>
  <c r="DZ184" i="1" s="1"/>
  <c r="DP184" i="1"/>
  <c r="DO184" i="1"/>
  <c r="FN308" i="1"/>
  <c r="EO307" i="1"/>
  <c r="EV307" i="1"/>
  <c r="FB307" i="1" s="1"/>
  <c r="ER307" i="1"/>
  <c r="ET307" i="1"/>
  <c r="EQ307" i="1"/>
  <c r="DG307" i="1"/>
  <c r="EL308" i="1"/>
  <c r="EI309" i="1"/>
  <c r="EP308" i="1"/>
  <c r="FA306" i="1"/>
  <c r="ES306" i="1"/>
  <c r="EW306" i="1"/>
  <c r="EX306" i="1" s="1"/>
  <c r="EU306" i="1"/>
  <c r="EN306" i="1"/>
  <c r="EJ306" i="1" s="1"/>
  <c r="EG306" i="1" s="1"/>
  <c r="EF306" i="1" s="1"/>
  <c r="EY306" i="1"/>
  <c r="EZ306" i="1" s="1"/>
  <c r="CJ307" i="1"/>
  <c r="CO307" i="1"/>
  <c r="CU307" i="1" s="1"/>
  <c r="CH307" i="1"/>
  <c r="CM307" i="1"/>
  <c r="CK307" i="1"/>
  <c r="CN306" i="1"/>
  <c r="CR306" i="1"/>
  <c r="CS306" i="1" s="1"/>
  <c r="CT306" i="1"/>
  <c r="CG306" i="1"/>
  <c r="CC306" i="1" s="1"/>
  <c r="BZ306" i="1" s="1"/>
  <c r="BY306" i="1" s="1"/>
  <c r="CP306" i="1"/>
  <c r="CQ306" i="1" s="1"/>
  <c r="CL306" i="1"/>
  <c r="CE308" i="1"/>
  <c r="CI308" i="1"/>
  <c r="CB309" i="1"/>
  <c r="CH188" i="1"/>
  <c r="CM188" i="1"/>
  <c r="CK188" i="1"/>
  <c r="CJ188" i="1"/>
  <c r="CO188" i="1"/>
  <c r="CU188" i="1" s="1"/>
  <c r="CT187" i="1"/>
  <c r="CL187" i="1"/>
  <c r="CG187" i="1"/>
  <c r="CC187" i="1" s="1"/>
  <c r="BZ187" i="1" s="1"/>
  <c r="BY187" i="1" s="1"/>
  <c r="CR187" i="1"/>
  <c r="CS187" i="1" s="1"/>
  <c r="CP187" i="1"/>
  <c r="CQ187" i="1" s="1"/>
  <c r="CN187" i="1"/>
  <c r="EN186" i="1"/>
  <c r="EJ186" i="1" s="1"/>
  <c r="EG186" i="1" s="1"/>
  <c r="EF186" i="1" s="1"/>
  <c r="EU186" i="1"/>
  <c r="ES186" i="1"/>
  <c r="FA186" i="1"/>
  <c r="EY186" i="1"/>
  <c r="EZ186" i="1" s="1"/>
  <c r="EW186" i="1"/>
  <c r="EX186" i="1" s="1"/>
  <c r="CI189" i="1"/>
  <c r="CE189" i="1"/>
  <c r="CB190" i="1"/>
  <c r="ER187" i="1"/>
  <c r="EQ187" i="1"/>
  <c r="EV187" i="1"/>
  <c r="FB187" i="1" s="1"/>
  <c r="EO187" i="1"/>
  <c r="ET187" i="1"/>
  <c r="EI189" i="1"/>
  <c r="EL188" i="1"/>
  <c r="EP188" i="1"/>
  <c r="FN66" i="1"/>
  <c r="FQ65" i="1"/>
  <c r="FU65" i="1"/>
  <c r="CR64" i="1"/>
  <c r="CS64" i="1" s="1"/>
  <c r="CG64" i="1"/>
  <c r="CC64" i="1" s="1"/>
  <c r="BZ64" i="1" s="1"/>
  <c r="BY64" i="1" s="1"/>
  <c r="CL64" i="1"/>
  <c r="CN64" i="1"/>
  <c r="CP64" i="1"/>
  <c r="CQ64" i="1" s="1"/>
  <c r="CT64" i="1"/>
  <c r="DR64" i="1"/>
  <c r="DO64" i="1"/>
  <c r="DM64" i="1"/>
  <c r="DT64" i="1"/>
  <c r="DZ64" i="1" s="1"/>
  <c r="DP64" i="1"/>
  <c r="GF63" i="1"/>
  <c r="GD63" i="1"/>
  <c r="GE63" i="1" s="1"/>
  <c r="FX63" i="1"/>
  <c r="GB63" i="1"/>
  <c r="GC63" i="1" s="1"/>
  <c r="FZ63" i="1"/>
  <c r="DJ65" i="1"/>
  <c r="DG66" i="1"/>
  <c r="DN65" i="1"/>
  <c r="CM65" i="1"/>
  <c r="CH65" i="1"/>
  <c r="CO65" i="1"/>
  <c r="CU65" i="1" s="1"/>
  <c r="CK65" i="1"/>
  <c r="CJ65" i="1"/>
  <c r="EO67" i="1"/>
  <c r="ER67" i="1"/>
  <c r="EQ67" i="1"/>
  <c r="EV67" i="1"/>
  <c r="FB67" i="1" s="1"/>
  <c r="ET67" i="1"/>
  <c r="CE66" i="1"/>
  <c r="CB67" i="1"/>
  <c r="CI66" i="1"/>
  <c r="DL63" i="1"/>
  <c r="DH63" i="1" s="1"/>
  <c r="DE63" i="1" s="1"/>
  <c r="DD63" i="1" s="1"/>
  <c r="DS63" i="1"/>
  <c r="DU63" i="1"/>
  <c r="DV63" i="1" s="1"/>
  <c r="DQ63" i="1"/>
  <c r="DY63" i="1"/>
  <c r="DW63" i="1"/>
  <c r="DX63" i="1" s="1"/>
  <c r="EU66" i="1"/>
  <c r="ES66" i="1"/>
  <c r="EY66" i="1"/>
  <c r="EZ66" i="1" s="1"/>
  <c r="EN66" i="1"/>
  <c r="EJ66" i="1" s="1"/>
  <c r="EG66" i="1" s="1"/>
  <c r="EF66" i="1" s="1"/>
  <c r="FA66" i="1"/>
  <c r="EW66" i="1"/>
  <c r="EX66" i="1" s="1"/>
  <c r="FV64" i="1"/>
  <c r="FW64" i="1"/>
  <c r="GA64" i="1"/>
  <c r="GG64" i="1" s="1"/>
  <c r="FS64" i="1" s="1"/>
  <c r="FO64" i="1" s="1"/>
  <c r="FL64" i="1" s="1"/>
  <c r="FK64" i="1" s="1"/>
  <c r="FY64" i="1"/>
  <c r="FT64" i="1"/>
  <c r="EI69" i="1"/>
  <c r="EL68" i="1"/>
  <c r="EP68" i="1"/>
  <c r="FZ184" i="1" l="1"/>
  <c r="FX184" i="1"/>
  <c r="GD184" i="1"/>
  <c r="GE184" i="1" s="1"/>
  <c r="GF184" i="1"/>
  <c r="GB184" i="1"/>
  <c r="GC184" i="1" s="1"/>
  <c r="DO306" i="1"/>
  <c r="DM306" i="1"/>
  <c r="DP306" i="1"/>
  <c r="DR306" i="1"/>
  <c r="DT306" i="1"/>
  <c r="DZ306" i="1" s="1"/>
  <c r="FQ186" i="1"/>
  <c r="FU186" i="1"/>
  <c r="FN187" i="1"/>
  <c r="GD306" i="1"/>
  <c r="GE306" i="1" s="1"/>
  <c r="GF306" i="1"/>
  <c r="FX306" i="1"/>
  <c r="FZ306" i="1"/>
  <c r="GB306" i="1"/>
  <c r="GC306" i="1" s="1"/>
  <c r="FY307" i="1"/>
  <c r="FV307" i="1"/>
  <c r="FW307" i="1"/>
  <c r="FT307" i="1"/>
  <c r="GA307" i="1"/>
  <c r="GG307" i="1" s="1"/>
  <c r="FS307" i="1" s="1"/>
  <c r="FO307" i="1" s="1"/>
  <c r="FL307" i="1" s="1"/>
  <c r="FK307" i="1" s="1"/>
  <c r="FV185" i="1"/>
  <c r="FW185" i="1"/>
  <c r="FY185" i="1"/>
  <c r="FT185" i="1"/>
  <c r="GA185" i="1"/>
  <c r="GG185" i="1" s="1"/>
  <c r="FS185" i="1" s="1"/>
  <c r="FO185" i="1" s="1"/>
  <c r="FL185" i="1" s="1"/>
  <c r="FK185" i="1" s="1"/>
  <c r="FQ308" i="1"/>
  <c r="FU308" i="1"/>
  <c r="DM185" i="1"/>
  <c r="DT185" i="1"/>
  <c r="DZ185" i="1" s="1"/>
  <c r="DO185" i="1"/>
  <c r="DP185" i="1"/>
  <c r="DR185" i="1"/>
  <c r="DJ307" i="1"/>
  <c r="DN307" i="1"/>
  <c r="DU184" i="1"/>
  <c r="DV184" i="1" s="1"/>
  <c r="DL184" i="1"/>
  <c r="DH184" i="1" s="1"/>
  <c r="DE184" i="1" s="1"/>
  <c r="DD184" i="1" s="1"/>
  <c r="DW184" i="1"/>
  <c r="DX184" i="1" s="1"/>
  <c r="DQ184" i="1"/>
  <c r="DY184" i="1"/>
  <c r="DS184" i="1"/>
  <c r="DQ305" i="1"/>
  <c r="DS305" i="1"/>
  <c r="DL305" i="1"/>
  <c r="DH305" i="1" s="1"/>
  <c r="DE305" i="1" s="1"/>
  <c r="DD305" i="1" s="1"/>
  <c r="DU305" i="1"/>
  <c r="DV305" i="1" s="1"/>
  <c r="DW305" i="1"/>
  <c r="DX305" i="1" s="1"/>
  <c r="DY305" i="1"/>
  <c r="DG187" i="1"/>
  <c r="DN186" i="1"/>
  <c r="DJ186" i="1"/>
  <c r="CI309" i="1"/>
  <c r="CE309" i="1"/>
  <c r="CB310" i="1"/>
  <c r="FN309" i="1"/>
  <c r="CM308" i="1"/>
  <c r="CJ308" i="1"/>
  <c r="CO308" i="1"/>
  <c r="CU308" i="1" s="1"/>
  <c r="CH308" i="1"/>
  <c r="CK308" i="1"/>
  <c r="ER308" i="1"/>
  <c r="EO308" i="1"/>
  <c r="EQ308" i="1"/>
  <c r="ET308" i="1"/>
  <c r="EV308" i="1"/>
  <c r="FB308" i="1" s="1"/>
  <c r="DG308" i="1"/>
  <c r="CR307" i="1"/>
  <c r="CS307" i="1" s="1"/>
  <c r="CN307" i="1"/>
  <c r="CT307" i="1"/>
  <c r="CL307" i="1"/>
  <c r="CG307" i="1"/>
  <c r="CC307" i="1" s="1"/>
  <c r="BZ307" i="1" s="1"/>
  <c r="BY307" i="1" s="1"/>
  <c r="CP307" i="1"/>
  <c r="CQ307" i="1" s="1"/>
  <c r="EI310" i="1"/>
  <c r="EP309" i="1"/>
  <c r="EL309" i="1"/>
  <c r="EW307" i="1"/>
  <c r="EX307" i="1" s="1"/>
  <c r="FA307" i="1"/>
  <c r="ES307" i="1"/>
  <c r="EU307" i="1"/>
  <c r="EN307" i="1"/>
  <c r="EJ307" i="1" s="1"/>
  <c r="EG307" i="1" s="1"/>
  <c r="EF307" i="1" s="1"/>
  <c r="EY307" i="1"/>
  <c r="EZ307" i="1" s="1"/>
  <c r="EY187" i="1"/>
  <c r="EZ187" i="1" s="1"/>
  <c r="EN187" i="1"/>
  <c r="EJ187" i="1" s="1"/>
  <c r="EG187" i="1" s="1"/>
  <c r="EF187" i="1" s="1"/>
  <c r="EW187" i="1"/>
  <c r="EX187" i="1" s="1"/>
  <c r="EU187" i="1"/>
  <c r="FA187" i="1"/>
  <c r="ES187" i="1"/>
  <c r="CP188" i="1"/>
  <c r="CQ188" i="1" s="1"/>
  <c r="CN188" i="1"/>
  <c r="CL188" i="1"/>
  <c r="CT188" i="1"/>
  <c r="CG188" i="1"/>
  <c r="CC188" i="1" s="1"/>
  <c r="BZ188" i="1" s="1"/>
  <c r="BY188" i="1" s="1"/>
  <c r="CR188" i="1"/>
  <c r="CS188" i="1" s="1"/>
  <c r="EI190" i="1"/>
  <c r="EP189" i="1"/>
  <c r="EL189" i="1"/>
  <c r="CI190" i="1"/>
  <c r="CE190" i="1"/>
  <c r="CB191" i="1"/>
  <c r="EV188" i="1"/>
  <c r="FB188" i="1" s="1"/>
  <c r="ER188" i="1"/>
  <c r="EQ188" i="1"/>
  <c r="EO188" i="1"/>
  <c r="ET188" i="1"/>
  <c r="CM189" i="1"/>
  <c r="CO189" i="1"/>
  <c r="CU189" i="1" s="1"/>
  <c r="CK189" i="1"/>
  <c r="CJ189" i="1"/>
  <c r="CH189" i="1"/>
  <c r="CT65" i="1"/>
  <c r="CP65" i="1"/>
  <c r="CQ65" i="1" s="1"/>
  <c r="CR65" i="1"/>
  <c r="CS65" i="1" s="1"/>
  <c r="CG65" i="1"/>
  <c r="CC65" i="1" s="1"/>
  <c r="BZ65" i="1" s="1"/>
  <c r="BY65" i="1" s="1"/>
  <c r="CL65" i="1"/>
  <c r="CN65" i="1"/>
  <c r="EO68" i="1"/>
  <c r="EV68" i="1"/>
  <c r="FB68" i="1" s="1"/>
  <c r="ER68" i="1"/>
  <c r="ET68" i="1"/>
  <c r="EQ68" i="1"/>
  <c r="DO65" i="1"/>
  <c r="DT65" i="1"/>
  <c r="DZ65" i="1" s="1"/>
  <c r="DP65" i="1"/>
  <c r="DM65" i="1"/>
  <c r="DR65" i="1"/>
  <c r="DG67" i="1"/>
  <c r="DJ66" i="1"/>
  <c r="DN66" i="1"/>
  <c r="EW67" i="1"/>
  <c r="EX67" i="1" s="1"/>
  <c r="EY67" i="1"/>
  <c r="EZ67" i="1" s="1"/>
  <c r="EN67" i="1"/>
  <c r="EJ67" i="1" s="1"/>
  <c r="EG67" i="1" s="1"/>
  <c r="EF67" i="1" s="1"/>
  <c r="ES67" i="1"/>
  <c r="EU67" i="1"/>
  <c r="FA67" i="1"/>
  <c r="DQ64" i="1"/>
  <c r="DL64" i="1"/>
  <c r="DH64" i="1" s="1"/>
  <c r="DE64" i="1" s="1"/>
  <c r="DD64" i="1" s="1"/>
  <c r="DW64" i="1"/>
  <c r="DX64" i="1" s="1"/>
  <c r="DS64" i="1"/>
  <c r="DY64" i="1"/>
  <c r="DU64" i="1"/>
  <c r="DV64" i="1" s="1"/>
  <c r="CM66" i="1"/>
  <c r="CK66" i="1"/>
  <c r="CH66" i="1"/>
  <c r="CO66" i="1"/>
  <c r="CU66" i="1" s="1"/>
  <c r="CJ66" i="1"/>
  <c r="FV65" i="1"/>
  <c r="FW65" i="1"/>
  <c r="FT65" i="1"/>
  <c r="FY65" i="1"/>
  <c r="GA65" i="1"/>
  <c r="GG65" i="1" s="1"/>
  <c r="FS65" i="1" s="1"/>
  <c r="FO65" i="1" s="1"/>
  <c r="FL65" i="1" s="1"/>
  <c r="FK65" i="1" s="1"/>
  <c r="CE67" i="1"/>
  <c r="CB68" i="1"/>
  <c r="CI67" i="1"/>
  <c r="EL69" i="1"/>
  <c r="EI70" i="1"/>
  <c r="EP69" i="1"/>
  <c r="GF64" i="1"/>
  <c r="GB64" i="1"/>
  <c r="GC64" i="1" s="1"/>
  <c r="GD64" i="1"/>
  <c r="GE64" i="1" s="1"/>
  <c r="FX64" i="1"/>
  <c r="FZ64" i="1"/>
  <c r="FN67" i="1"/>
  <c r="FQ66" i="1"/>
  <c r="FU66" i="1"/>
  <c r="DQ185" i="1" l="1"/>
  <c r="DY185" i="1"/>
  <c r="DL185" i="1"/>
  <c r="DH185" i="1" s="1"/>
  <c r="DE185" i="1" s="1"/>
  <c r="DD185" i="1" s="1"/>
  <c r="DS185" i="1"/>
  <c r="DU185" i="1"/>
  <c r="DV185" i="1" s="1"/>
  <c r="DW185" i="1"/>
  <c r="DX185" i="1" s="1"/>
  <c r="DL306" i="1"/>
  <c r="DH306" i="1" s="1"/>
  <c r="DE306" i="1" s="1"/>
  <c r="DD306" i="1" s="1"/>
  <c r="DW306" i="1"/>
  <c r="DX306" i="1" s="1"/>
  <c r="DY306" i="1"/>
  <c r="DU306" i="1"/>
  <c r="DV306" i="1" s="1"/>
  <c r="DQ306" i="1"/>
  <c r="DS306" i="1"/>
  <c r="FQ309" i="1"/>
  <c r="FU309" i="1"/>
  <c r="FT308" i="1"/>
  <c r="FV308" i="1"/>
  <c r="FW308" i="1"/>
  <c r="FY308" i="1"/>
  <c r="GA308" i="1"/>
  <c r="GG308" i="1" s="1"/>
  <c r="FS308" i="1" s="1"/>
  <c r="FO308" i="1" s="1"/>
  <c r="FL308" i="1" s="1"/>
  <c r="FK308" i="1" s="1"/>
  <c r="FX307" i="1"/>
  <c r="GB307" i="1"/>
  <c r="GC307" i="1" s="1"/>
  <c r="GD307" i="1"/>
  <c r="GE307" i="1" s="1"/>
  <c r="GF307" i="1"/>
  <c r="FZ307" i="1"/>
  <c r="DM307" i="1"/>
  <c r="DO307" i="1"/>
  <c r="DP307" i="1"/>
  <c r="DR307" i="1"/>
  <c r="DT307" i="1"/>
  <c r="DZ307" i="1" s="1"/>
  <c r="FQ187" i="1"/>
  <c r="FU187" i="1"/>
  <c r="FN188" i="1"/>
  <c r="FW186" i="1"/>
  <c r="FT186" i="1"/>
  <c r="FV186" i="1"/>
  <c r="FY186" i="1"/>
  <c r="GA186" i="1"/>
  <c r="GG186" i="1" s="1"/>
  <c r="FS186" i="1" s="1"/>
  <c r="FO186" i="1" s="1"/>
  <c r="FL186" i="1" s="1"/>
  <c r="FK186" i="1" s="1"/>
  <c r="DM186" i="1"/>
  <c r="DT186" i="1"/>
  <c r="DZ186" i="1" s="1"/>
  <c r="DR186" i="1"/>
  <c r="DO186" i="1"/>
  <c r="DP186" i="1"/>
  <c r="GB185" i="1"/>
  <c r="GC185" i="1" s="1"/>
  <c r="GF185" i="1"/>
  <c r="FZ185" i="1"/>
  <c r="FX185" i="1"/>
  <c r="GD185" i="1"/>
  <c r="GE185" i="1" s="1"/>
  <c r="DG188" i="1"/>
  <c r="DJ187" i="1"/>
  <c r="DN187" i="1"/>
  <c r="DJ308" i="1"/>
  <c r="DN308" i="1"/>
  <c r="EO309" i="1"/>
  <c r="EV309" i="1"/>
  <c r="FB309" i="1" s="1"/>
  <c r="ER309" i="1"/>
  <c r="ET309" i="1"/>
  <c r="EQ309" i="1"/>
  <c r="FN310" i="1"/>
  <c r="CE310" i="1"/>
  <c r="CI310" i="1"/>
  <c r="CB311" i="1"/>
  <c r="FA308" i="1"/>
  <c r="ES308" i="1"/>
  <c r="EW308" i="1"/>
  <c r="EX308" i="1" s="1"/>
  <c r="EN308" i="1"/>
  <c r="EJ308" i="1" s="1"/>
  <c r="EG308" i="1" s="1"/>
  <c r="EF308" i="1" s="1"/>
  <c r="EU308" i="1"/>
  <c r="EY308" i="1"/>
  <c r="EZ308" i="1" s="1"/>
  <c r="DG309" i="1"/>
  <c r="CN308" i="1"/>
  <c r="CR308" i="1"/>
  <c r="CS308" i="1" s="1"/>
  <c r="CP308" i="1"/>
  <c r="CQ308" i="1" s="1"/>
  <c r="CL308" i="1"/>
  <c r="CG308" i="1"/>
  <c r="CC308" i="1" s="1"/>
  <c r="BZ308" i="1" s="1"/>
  <c r="BY308" i="1" s="1"/>
  <c r="CT308" i="1"/>
  <c r="EI311" i="1"/>
  <c r="EP310" i="1"/>
  <c r="EL310" i="1"/>
  <c r="CJ309" i="1"/>
  <c r="CM309" i="1"/>
  <c r="CK309" i="1"/>
  <c r="CO309" i="1"/>
  <c r="CU309" i="1" s="1"/>
  <c r="CH309" i="1"/>
  <c r="CH190" i="1"/>
  <c r="CM190" i="1"/>
  <c r="CO190" i="1"/>
  <c r="CU190" i="1" s="1"/>
  <c r="CK190" i="1"/>
  <c r="CJ190" i="1"/>
  <c r="ER189" i="1"/>
  <c r="EQ189" i="1"/>
  <c r="EV189" i="1"/>
  <c r="FB189" i="1" s="1"/>
  <c r="ET189" i="1"/>
  <c r="EO189" i="1"/>
  <c r="EI191" i="1"/>
  <c r="EL190" i="1"/>
  <c r="EP190" i="1"/>
  <c r="CT189" i="1"/>
  <c r="CL189" i="1"/>
  <c r="CR189" i="1"/>
  <c r="CS189" i="1" s="1"/>
  <c r="CP189" i="1"/>
  <c r="CQ189" i="1" s="1"/>
  <c r="CN189" i="1"/>
  <c r="CG189" i="1"/>
  <c r="CC189" i="1" s="1"/>
  <c r="BZ189" i="1" s="1"/>
  <c r="BY189" i="1" s="1"/>
  <c r="EN188" i="1"/>
  <c r="EJ188" i="1" s="1"/>
  <c r="EG188" i="1" s="1"/>
  <c r="EF188" i="1" s="1"/>
  <c r="EU188" i="1"/>
  <c r="FA188" i="1"/>
  <c r="EY188" i="1"/>
  <c r="EZ188" i="1" s="1"/>
  <c r="EW188" i="1"/>
  <c r="EX188" i="1" s="1"/>
  <c r="ES188" i="1"/>
  <c r="CB192" i="1"/>
  <c r="CI191" i="1"/>
  <c r="CE191" i="1"/>
  <c r="EQ69" i="1"/>
  <c r="EO69" i="1"/>
  <c r="EV69" i="1"/>
  <c r="FB69" i="1" s="1"/>
  <c r="ER69" i="1"/>
  <c r="ET69" i="1"/>
  <c r="GD65" i="1"/>
  <c r="GE65" i="1" s="1"/>
  <c r="FZ65" i="1"/>
  <c r="GB65" i="1"/>
  <c r="GC65" i="1" s="1"/>
  <c r="FX65" i="1"/>
  <c r="GF65" i="1"/>
  <c r="DU65" i="1"/>
  <c r="DV65" i="1" s="1"/>
  <c r="DL65" i="1"/>
  <c r="DH65" i="1" s="1"/>
  <c r="DE65" i="1" s="1"/>
  <c r="DD65" i="1" s="1"/>
  <c r="DS65" i="1"/>
  <c r="DQ65" i="1"/>
  <c r="DY65" i="1"/>
  <c r="DW65" i="1"/>
  <c r="DX65" i="1" s="1"/>
  <c r="EW68" i="1"/>
  <c r="EX68" i="1" s="1"/>
  <c r="ES68" i="1"/>
  <c r="EN68" i="1"/>
  <c r="EJ68" i="1" s="1"/>
  <c r="EG68" i="1" s="1"/>
  <c r="EF68" i="1" s="1"/>
  <c r="FA68" i="1"/>
  <c r="EU68" i="1"/>
  <c r="EY68" i="1"/>
  <c r="EZ68" i="1" s="1"/>
  <c r="FN68" i="1"/>
  <c r="FQ67" i="1"/>
  <c r="FU67" i="1"/>
  <c r="CK67" i="1"/>
  <c r="CH67" i="1"/>
  <c r="CM67" i="1"/>
  <c r="CO67" i="1"/>
  <c r="CU67" i="1" s="1"/>
  <c r="CJ67" i="1"/>
  <c r="GA66" i="1"/>
  <c r="GG66" i="1" s="1"/>
  <c r="FS66" i="1" s="1"/>
  <c r="FO66" i="1" s="1"/>
  <c r="FL66" i="1" s="1"/>
  <c r="FK66" i="1" s="1"/>
  <c r="FY66" i="1"/>
  <c r="FT66" i="1"/>
  <c r="FW66" i="1"/>
  <c r="FV66" i="1"/>
  <c r="CB69" i="1"/>
  <c r="CE68" i="1"/>
  <c r="CI68" i="1"/>
  <c r="DT66" i="1"/>
  <c r="DZ66" i="1" s="1"/>
  <c r="DO66" i="1"/>
  <c r="DP66" i="1"/>
  <c r="DM66" i="1"/>
  <c r="DR66" i="1"/>
  <c r="EI71" i="1"/>
  <c r="EL70" i="1"/>
  <c r="EP70" i="1"/>
  <c r="CT66" i="1"/>
  <c r="CN66" i="1"/>
  <c r="CR66" i="1"/>
  <c r="CS66" i="1" s="1"/>
  <c r="CL66" i="1"/>
  <c r="CP66" i="1"/>
  <c r="CQ66" i="1" s="1"/>
  <c r="CG66" i="1"/>
  <c r="CC66" i="1" s="1"/>
  <c r="BZ66" i="1" s="1"/>
  <c r="BY66" i="1" s="1"/>
  <c r="DJ67" i="1"/>
  <c r="DG68" i="1"/>
  <c r="DN67" i="1"/>
  <c r="DG189" i="1" l="1"/>
  <c r="DN188" i="1"/>
  <c r="DJ188" i="1"/>
  <c r="FQ188" i="1"/>
  <c r="FU188" i="1"/>
  <c r="FN189" i="1"/>
  <c r="FY187" i="1"/>
  <c r="FT187" i="1"/>
  <c r="FV187" i="1"/>
  <c r="FW187" i="1"/>
  <c r="GA187" i="1"/>
  <c r="GG187" i="1" s="1"/>
  <c r="FS187" i="1" s="1"/>
  <c r="FO187" i="1" s="1"/>
  <c r="FL187" i="1" s="1"/>
  <c r="FK187" i="1" s="1"/>
  <c r="GF308" i="1"/>
  <c r="FZ308" i="1"/>
  <c r="GB308" i="1"/>
  <c r="GC308" i="1" s="1"/>
  <c r="GD308" i="1"/>
  <c r="GE308" i="1" s="1"/>
  <c r="FX308" i="1"/>
  <c r="DS186" i="1"/>
  <c r="DU186" i="1"/>
  <c r="DV186" i="1" s="1"/>
  <c r="DW186" i="1"/>
  <c r="DX186" i="1" s="1"/>
  <c r="DQ186" i="1"/>
  <c r="DL186" i="1"/>
  <c r="DH186" i="1" s="1"/>
  <c r="DE186" i="1" s="1"/>
  <c r="DD186" i="1" s="1"/>
  <c r="DY186" i="1"/>
  <c r="FV309" i="1"/>
  <c r="FT309" i="1"/>
  <c r="FY309" i="1"/>
  <c r="FW309" i="1"/>
  <c r="GA309" i="1"/>
  <c r="GG309" i="1" s="1"/>
  <c r="FS309" i="1" s="1"/>
  <c r="FO309" i="1" s="1"/>
  <c r="FL309" i="1" s="1"/>
  <c r="FK309" i="1" s="1"/>
  <c r="DO308" i="1"/>
  <c r="DM308" i="1"/>
  <c r="DR308" i="1"/>
  <c r="DP308" i="1"/>
  <c r="DT308" i="1"/>
  <c r="DZ308" i="1" s="1"/>
  <c r="DJ309" i="1"/>
  <c r="DN309" i="1"/>
  <c r="DP187" i="1"/>
  <c r="DR187" i="1"/>
  <c r="DT187" i="1"/>
  <c r="DZ187" i="1" s="1"/>
  <c r="DM187" i="1"/>
  <c r="DO187" i="1"/>
  <c r="FX186" i="1"/>
  <c r="FZ186" i="1"/>
  <c r="GF186" i="1"/>
  <c r="GB186" i="1"/>
  <c r="GC186" i="1" s="1"/>
  <c r="GD186" i="1"/>
  <c r="GE186" i="1" s="1"/>
  <c r="FQ310" i="1"/>
  <c r="FU310" i="1"/>
  <c r="DW307" i="1"/>
  <c r="DX307" i="1" s="1"/>
  <c r="DY307" i="1"/>
  <c r="DL307" i="1"/>
  <c r="DH307" i="1" s="1"/>
  <c r="DE307" i="1" s="1"/>
  <c r="DD307" i="1" s="1"/>
  <c r="DU307" i="1"/>
  <c r="DV307" i="1" s="1"/>
  <c r="DQ307" i="1"/>
  <c r="DS307" i="1"/>
  <c r="DG310" i="1"/>
  <c r="FN311" i="1"/>
  <c r="EI312" i="1"/>
  <c r="EP311" i="1"/>
  <c r="EL311" i="1"/>
  <c r="CI311" i="1"/>
  <c r="CE311" i="1"/>
  <c r="CB312" i="1"/>
  <c r="CR309" i="1"/>
  <c r="CS309" i="1" s="1"/>
  <c r="CN309" i="1"/>
  <c r="CT309" i="1"/>
  <c r="CG309" i="1"/>
  <c r="CC309" i="1" s="1"/>
  <c r="BZ309" i="1" s="1"/>
  <c r="BY309" i="1" s="1"/>
  <c r="CP309" i="1"/>
  <c r="CQ309" i="1" s="1"/>
  <c r="CL309" i="1"/>
  <c r="ER310" i="1"/>
  <c r="EO310" i="1"/>
  <c r="ET310" i="1"/>
  <c r="EQ310" i="1"/>
  <c r="EV310" i="1"/>
  <c r="FB310" i="1" s="1"/>
  <c r="CM310" i="1"/>
  <c r="CJ310" i="1"/>
  <c r="CO310" i="1"/>
  <c r="CU310" i="1" s="1"/>
  <c r="CK310" i="1"/>
  <c r="CH310" i="1"/>
  <c r="EW309" i="1"/>
  <c r="EX309" i="1" s="1"/>
  <c r="EN309" i="1"/>
  <c r="EJ309" i="1" s="1"/>
  <c r="EG309" i="1" s="1"/>
  <c r="EF309" i="1" s="1"/>
  <c r="FA309" i="1"/>
  <c r="ES309" i="1"/>
  <c r="EU309" i="1"/>
  <c r="EY309" i="1"/>
  <c r="EZ309" i="1" s="1"/>
  <c r="EI192" i="1"/>
  <c r="EP191" i="1"/>
  <c r="EL191" i="1"/>
  <c r="CI192" i="1"/>
  <c r="CE192" i="1"/>
  <c r="CB193" i="1"/>
  <c r="EV190" i="1"/>
  <c r="FB190" i="1" s="1"/>
  <c r="ER190" i="1"/>
  <c r="ET190" i="1"/>
  <c r="EQ190" i="1"/>
  <c r="EO190" i="1"/>
  <c r="EY189" i="1"/>
  <c r="EZ189" i="1" s="1"/>
  <c r="EN189" i="1"/>
  <c r="EJ189" i="1" s="1"/>
  <c r="EG189" i="1" s="1"/>
  <c r="EF189" i="1" s="1"/>
  <c r="EU189" i="1"/>
  <c r="ES189" i="1"/>
  <c r="FA189" i="1"/>
  <c r="EW189" i="1"/>
  <c r="EX189" i="1" s="1"/>
  <c r="CM191" i="1"/>
  <c r="CK191" i="1"/>
  <c r="CJ191" i="1"/>
  <c r="CH191" i="1"/>
  <c r="CO191" i="1"/>
  <c r="CU191" i="1" s="1"/>
  <c r="CP190" i="1"/>
  <c r="CQ190" i="1" s="1"/>
  <c r="CT190" i="1"/>
  <c r="CG190" i="1"/>
  <c r="CC190" i="1" s="1"/>
  <c r="BZ190" i="1" s="1"/>
  <c r="BY190" i="1" s="1"/>
  <c r="CR190" i="1"/>
  <c r="CS190" i="1" s="1"/>
  <c r="CN190" i="1"/>
  <c r="CL190" i="1"/>
  <c r="FN69" i="1"/>
  <c r="FQ68" i="1"/>
  <c r="FU68" i="1"/>
  <c r="EO70" i="1"/>
  <c r="EQ70" i="1"/>
  <c r="ER70" i="1"/>
  <c r="EV70" i="1"/>
  <c r="FB70" i="1" s="1"/>
  <c r="ET70" i="1"/>
  <c r="CK68" i="1"/>
  <c r="CM68" i="1"/>
  <c r="CH68" i="1"/>
  <c r="CO68" i="1"/>
  <c r="CU68" i="1" s="1"/>
  <c r="CJ68" i="1"/>
  <c r="CE69" i="1"/>
  <c r="CB70" i="1"/>
  <c r="CI69" i="1"/>
  <c r="DP67" i="1"/>
  <c r="DR67" i="1"/>
  <c r="DT67" i="1"/>
  <c r="DZ67" i="1" s="1"/>
  <c r="DO67" i="1"/>
  <c r="DM67" i="1"/>
  <c r="DJ68" i="1"/>
  <c r="DG69" i="1"/>
  <c r="DN68" i="1"/>
  <c r="CR67" i="1"/>
  <c r="CS67" i="1" s="1"/>
  <c r="CN67" i="1"/>
  <c r="CT67" i="1"/>
  <c r="CP67" i="1"/>
  <c r="CQ67" i="1" s="1"/>
  <c r="CG67" i="1"/>
  <c r="CC67" i="1" s="1"/>
  <c r="BZ67" i="1" s="1"/>
  <c r="BY67" i="1" s="1"/>
  <c r="CL67" i="1"/>
  <c r="DW66" i="1"/>
  <c r="DX66" i="1" s="1"/>
  <c r="DU66" i="1"/>
  <c r="DV66" i="1" s="1"/>
  <c r="DY66" i="1"/>
  <c r="DL66" i="1"/>
  <c r="DH66" i="1" s="1"/>
  <c r="DE66" i="1" s="1"/>
  <c r="DD66" i="1" s="1"/>
  <c r="DQ66" i="1"/>
  <c r="DS66" i="1"/>
  <c r="EU69" i="1"/>
  <c r="ES69" i="1"/>
  <c r="EY69" i="1"/>
  <c r="EZ69" i="1" s="1"/>
  <c r="EN69" i="1"/>
  <c r="EJ69" i="1" s="1"/>
  <c r="EG69" i="1" s="1"/>
  <c r="EF69" i="1" s="1"/>
  <c r="FA69" i="1"/>
  <c r="EW69" i="1"/>
  <c r="EX69" i="1" s="1"/>
  <c r="EI72" i="1"/>
  <c r="EL71" i="1"/>
  <c r="EP71" i="1"/>
  <c r="FX66" i="1"/>
  <c r="GF66" i="1"/>
  <c r="GB66" i="1"/>
  <c r="GC66" i="1" s="1"/>
  <c r="FZ66" i="1"/>
  <c r="GD66" i="1"/>
  <c r="GE66" i="1" s="1"/>
  <c r="FV67" i="1"/>
  <c r="GA67" i="1"/>
  <c r="GG67" i="1" s="1"/>
  <c r="FS67" i="1" s="1"/>
  <c r="FO67" i="1" s="1"/>
  <c r="FL67" i="1" s="1"/>
  <c r="FK67" i="1" s="1"/>
  <c r="FW67" i="1"/>
  <c r="FY67" i="1"/>
  <c r="FT67" i="1"/>
  <c r="GD309" i="1" l="1"/>
  <c r="GE309" i="1" s="1"/>
  <c r="FX309" i="1"/>
  <c r="GF309" i="1"/>
  <c r="GB309" i="1"/>
  <c r="GC309" i="1" s="1"/>
  <c r="FZ309" i="1"/>
  <c r="FZ187" i="1"/>
  <c r="GB187" i="1"/>
  <c r="GC187" i="1" s="1"/>
  <c r="GD187" i="1"/>
  <c r="GE187" i="1" s="1"/>
  <c r="GF187" i="1"/>
  <c r="FX187" i="1"/>
  <c r="FV310" i="1"/>
  <c r="FW310" i="1"/>
  <c r="FY310" i="1"/>
  <c r="FT310" i="1"/>
  <c r="GA310" i="1"/>
  <c r="GG310" i="1" s="1"/>
  <c r="FS310" i="1" s="1"/>
  <c r="FO310" i="1" s="1"/>
  <c r="FL310" i="1" s="1"/>
  <c r="FK310" i="1" s="1"/>
  <c r="DW187" i="1"/>
  <c r="DX187" i="1" s="1"/>
  <c r="DY187" i="1"/>
  <c r="DQ187" i="1"/>
  <c r="DS187" i="1"/>
  <c r="DL187" i="1"/>
  <c r="DH187" i="1" s="1"/>
  <c r="DE187" i="1" s="1"/>
  <c r="DD187" i="1" s="1"/>
  <c r="DU187" i="1"/>
  <c r="DV187" i="1" s="1"/>
  <c r="FQ189" i="1"/>
  <c r="FU189" i="1"/>
  <c r="FN190" i="1"/>
  <c r="DU308" i="1"/>
  <c r="DV308" i="1" s="1"/>
  <c r="DW308" i="1"/>
  <c r="DX308" i="1" s="1"/>
  <c r="DQ308" i="1"/>
  <c r="DY308" i="1"/>
  <c r="DL308" i="1"/>
  <c r="DH308" i="1" s="1"/>
  <c r="DE308" i="1" s="1"/>
  <c r="DD308" i="1" s="1"/>
  <c r="DS308" i="1"/>
  <c r="FW188" i="1"/>
  <c r="FV188" i="1"/>
  <c r="FY188" i="1"/>
  <c r="FT188" i="1"/>
  <c r="GA188" i="1"/>
  <c r="GG188" i="1" s="1"/>
  <c r="FS188" i="1" s="1"/>
  <c r="FO188" i="1" s="1"/>
  <c r="FL188" i="1" s="1"/>
  <c r="FK188" i="1" s="1"/>
  <c r="FQ311" i="1"/>
  <c r="FU311" i="1"/>
  <c r="DJ310" i="1"/>
  <c r="DN310" i="1"/>
  <c r="DR309" i="1"/>
  <c r="DM309" i="1"/>
  <c r="DO309" i="1"/>
  <c r="DP309" i="1"/>
  <c r="DT309" i="1"/>
  <c r="DZ309" i="1" s="1"/>
  <c r="DO188" i="1"/>
  <c r="DP188" i="1"/>
  <c r="DR188" i="1"/>
  <c r="DM188" i="1"/>
  <c r="DT188" i="1"/>
  <c r="DZ188" i="1" s="1"/>
  <c r="DG190" i="1"/>
  <c r="DJ189" i="1"/>
  <c r="DN189" i="1"/>
  <c r="EI313" i="1"/>
  <c r="EL312" i="1"/>
  <c r="EP312" i="1"/>
  <c r="CN310" i="1"/>
  <c r="CR310" i="1"/>
  <c r="CS310" i="1" s="1"/>
  <c r="CG310" i="1"/>
  <c r="CC310" i="1" s="1"/>
  <c r="BZ310" i="1" s="1"/>
  <c r="BY310" i="1" s="1"/>
  <c r="CP310" i="1"/>
  <c r="CQ310" i="1" s="1"/>
  <c r="CL310" i="1"/>
  <c r="CT310" i="1"/>
  <c r="CE312" i="1"/>
  <c r="CI312" i="1"/>
  <c r="CB313" i="1"/>
  <c r="FN312" i="1"/>
  <c r="DG311" i="1"/>
  <c r="CJ311" i="1"/>
  <c r="CM311" i="1"/>
  <c r="CK311" i="1"/>
  <c r="CH311" i="1"/>
  <c r="CO311" i="1"/>
  <c r="CU311" i="1" s="1"/>
  <c r="EO311" i="1"/>
  <c r="EV311" i="1"/>
  <c r="FB311" i="1" s="1"/>
  <c r="ER311" i="1"/>
  <c r="ET311" i="1"/>
  <c r="EQ311" i="1"/>
  <c r="FA310" i="1"/>
  <c r="ES310" i="1"/>
  <c r="EW310" i="1"/>
  <c r="EX310" i="1" s="1"/>
  <c r="EU310" i="1"/>
  <c r="EN310" i="1"/>
  <c r="EJ310" i="1" s="1"/>
  <c r="EG310" i="1" s="1"/>
  <c r="EF310" i="1" s="1"/>
  <c r="EY310" i="1"/>
  <c r="EZ310" i="1" s="1"/>
  <c r="CT191" i="1"/>
  <c r="CL191" i="1"/>
  <c r="CG191" i="1"/>
  <c r="CC191" i="1" s="1"/>
  <c r="BZ191" i="1" s="1"/>
  <c r="BY191" i="1" s="1"/>
  <c r="CR191" i="1"/>
  <c r="CS191" i="1" s="1"/>
  <c r="CP191" i="1"/>
  <c r="CQ191" i="1" s="1"/>
  <c r="CN191" i="1"/>
  <c r="EN190" i="1"/>
  <c r="EJ190" i="1" s="1"/>
  <c r="EG190" i="1" s="1"/>
  <c r="EF190" i="1" s="1"/>
  <c r="EU190" i="1"/>
  <c r="EW190" i="1"/>
  <c r="EX190" i="1" s="1"/>
  <c r="ES190" i="1"/>
  <c r="FA190" i="1"/>
  <c r="EY190" i="1"/>
  <c r="EZ190" i="1" s="1"/>
  <c r="CE193" i="1"/>
  <c r="CB194" i="1"/>
  <c r="CI193" i="1"/>
  <c r="CO192" i="1"/>
  <c r="CU192" i="1" s="1"/>
  <c r="CM192" i="1"/>
  <c r="CJ192" i="1"/>
  <c r="CK192" i="1"/>
  <c r="CH192" i="1"/>
  <c r="ER191" i="1"/>
  <c r="EO191" i="1"/>
  <c r="ET191" i="1"/>
  <c r="EQ191" i="1"/>
  <c r="EV191" i="1"/>
  <c r="FB191" i="1" s="1"/>
  <c r="EI193" i="1"/>
  <c r="EL192" i="1"/>
  <c r="EP192" i="1"/>
  <c r="DP68" i="1"/>
  <c r="DR68" i="1"/>
  <c r="DM68" i="1"/>
  <c r="DO68" i="1"/>
  <c r="DT68" i="1"/>
  <c r="DZ68" i="1" s="1"/>
  <c r="CM69" i="1"/>
  <c r="CO69" i="1"/>
  <c r="CU69" i="1" s="1"/>
  <c r="CJ69" i="1"/>
  <c r="CK69" i="1"/>
  <c r="CH69" i="1"/>
  <c r="DG70" i="1"/>
  <c r="DJ69" i="1"/>
  <c r="DN69" i="1"/>
  <c r="CB71" i="1"/>
  <c r="CE70" i="1"/>
  <c r="CI70" i="1"/>
  <c r="DW67" i="1"/>
  <c r="DX67" i="1" s="1"/>
  <c r="DU67" i="1"/>
  <c r="DV67" i="1" s="1"/>
  <c r="DL67" i="1"/>
  <c r="DH67" i="1" s="1"/>
  <c r="DE67" i="1" s="1"/>
  <c r="DD67" i="1" s="1"/>
  <c r="DQ67" i="1"/>
  <c r="DY67" i="1"/>
  <c r="DS67" i="1"/>
  <c r="GD67" i="1"/>
  <c r="GE67" i="1" s="1"/>
  <c r="FX67" i="1"/>
  <c r="GF67" i="1"/>
  <c r="GB67" i="1"/>
  <c r="GC67" i="1" s="1"/>
  <c r="FZ67" i="1"/>
  <c r="EY70" i="1"/>
  <c r="EZ70" i="1" s="1"/>
  <c r="EN70" i="1"/>
  <c r="EJ70" i="1" s="1"/>
  <c r="EG70" i="1" s="1"/>
  <c r="EF70" i="1" s="1"/>
  <c r="EW70" i="1"/>
  <c r="EX70" i="1" s="1"/>
  <c r="EU70" i="1"/>
  <c r="ES70" i="1"/>
  <c r="FA70" i="1"/>
  <c r="EO71" i="1"/>
  <c r="EV71" i="1"/>
  <c r="FB71" i="1" s="1"/>
  <c r="EQ71" i="1"/>
  <c r="ET71" i="1"/>
  <c r="ER71" i="1"/>
  <c r="CG68" i="1"/>
  <c r="CC68" i="1" s="1"/>
  <c r="BZ68" i="1" s="1"/>
  <c r="BY68" i="1" s="1"/>
  <c r="CT68" i="1"/>
  <c r="CP68" i="1"/>
  <c r="CQ68" i="1" s="1"/>
  <c r="CL68" i="1"/>
  <c r="CR68" i="1"/>
  <c r="CS68" i="1" s="1"/>
  <c r="CN68" i="1"/>
  <c r="FV68" i="1"/>
  <c r="FW68" i="1"/>
  <c r="GA68" i="1"/>
  <c r="GG68" i="1" s="1"/>
  <c r="FS68" i="1" s="1"/>
  <c r="FO68" i="1" s="1"/>
  <c r="FL68" i="1" s="1"/>
  <c r="FK68" i="1" s="1"/>
  <c r="FY68" i="1"/>
  <c r="FT68" i="1"/>
  <c r="EL72" i="1"/>
  <c r="EI73" i="1"/>
  <c r="EP72" i="1"/>
  <c r="FN70" i="1"/>
  <c r="FQ69" i="1"/>
  <c r="FU69" i="1"/>
  <c r="DU188" i="1" l="1"/>
  <c r="DV188" i="1" s="1"/>
  <c r="DL188" i="1"/>
  <c r="DH188" i="1" s="1"/>
  <c r="DE188" i="1" s="1"/>
  <c r="DD188" i="1" s="1"/>
  <c r="DW188" i="1"/>
  <c r="DX188" i="1" s="1"/>
  <c r="DQ188" i="1"/>
  <c r="DY188" i="1"/>
  <c r="DS188" i="1"/>
  <c r="FQ190" i="1"/>
  <c r="FU190" i="1"/>
  <c r="FN191" i="1"/>
  <c r="DM310" i="1"/>
  <c r="DO310" i="1"/>
  <c r="DP310" i="1"/>
  <c r="DR310" i="1"/>
  <c r="DT310" i="1"/>
  <c r="DZ310" i="1" s="1"/>
  <c r="FW189" i="1"/>
  <c r="FT189" i="1"/>
  <c r="FV189" i="1"/>
  <c r="FY189" i="1"/>
  <c r="GA189" i="1"/>
  <c r="GG189" i="1" s="1"/>
  <c r="FS189" i="1" s="1"/>
  <c r="FO189" i="1" s="1"/>
  <c r="FL189" i="1" s="1"/>
  <c r="FK189" i="1" s="1"/>
  <c r="GD310" i="1"/>
  <c r="GE310" i="1" s="1"/>
  <c r="FX310" i="1"/>
  <c r="GB310" i="1"/>
  <c r="GC310" i="1" s="1"/>
  <c r="GF310" i="1"/>
  <c r="FZ310" i="1"/>
  <c r="FT311" i="1"/>
  <c r="FV311" i="1"/>
  <c r="FW311" i="1"/>
  <c r="FY311" i="1"/>
  <c r="GA311" i="1"/>
  <c r="GG311" i="1" s="1"/>
  <c r="FS311" i="1" s="1"/>
  <c r="FO311" i="1" s="1"/>
  <c r="FL311" i="1" s="1"/>
  <c r="FK311" i="1" s="1"/>
  <c r="DT189" i="1"/>
  <c r="DZ189" i="1" s="1"/>
  <c r="DM189" i="1"/>
  <c r="DO189" i="1"/>
  <c r="DP189" i="1"/>
  <c r="DR189" i="1"/>
  <c r="DJ311" i="1"/>
  <c r="DN311" i="1"/>
  <c r="DG191" i="1"/>
  <c r="DN190" i="1"/>
  <c r="DJ190" i="1"/>
  <c r="FX188" i="1"/>
  <c r="GF188" i="1"/>
  <c r="FZ188" i="1"/>
  <c r="GB188" i="1"/>
  <c r="GC188" i="1" s="1"/>
  <c r="GD188" i="1"/>
  <c r="GE188" i="1" s="1"/>
  <c r="FQ312" i="1"/>
  <c r="FU312" i="1"/>
  <c r="DW309" i="1"/>
  <c r="DX309" i="1" s="1"/>
  <c r="DQ309" i="1"/>
  <c r="DL309" i="1"/>
  <c r="DH309" i="1" s="1"/>
  <c r="DE309" i="1" s="1"/>
  <c r="DD309" i="1" s="1"/>
  <c r="DU309" i="1"/>
  <c r="DV309" i="1" s="1"/>
  <c r="DY309" i="1"/>
  <c r="DS309" i="1"/>
  <c r="CI313" i="1"/>
  <c r="CB314" i="1"/>
  <c r="CE313" i="1"/>
  <c r="DG312" i="1"/>
  <c r="EW311" i="1"/>
  <c r="EX311" i="1" s="1"/>
  <c r="EN311" i="1"/>
  <c r="EJ311" i="1" s="1"/>
  <c r="EG311" i="1" s="1"/>
  <c r="EF311" i="1" s="1"/>
  <c r="FA311" i="1"/>
  <c r="ES311" i="1"/>
  <c r="EY311" i="1"/>
  <c r="EZ311" i="1" s="1"/>
  <c r="EU311" i="1"/>
  <c r="ER312" i="1"/>
  <c r="EO312" i="1"/>
  <c r="EQ312" i="1"/>
  <c r="EV312" i="1"/>
  <c r="FB312" i="1" s="1"/>
  <c r="ET312" i="1"/>
  <c r="CM312" i="1"/>
  <c r="CJ312" i="1"/>
  <c r="CK312" i="1"/>
  <c r="CO312" i="1"/>
  <c r="CU312" i="1" s="1"/>
  <c r="CH312" i="1"/>
  <c r="FN313" i="1"/>
  <c r="CR311" i="1"/>
  <c r="CS311" i="1" s="1"/>
  <c r="CN311" i="1"/>
  <c r="CT311" i="1"/>
  <c r="CG311" i="1"/>
  <c r="CC311" i="1" s="1"/>
  <c r="BZ311" i="1" s="1"/>
  <c r="BY311" i="1" s="1"/>
  <c r="CP311" i="1"/>
  <c r="CQ311" i="1" s="1"/>
  <c r="CL311" i="1"/>
  <c r="EI314" i="1"/>
  <c r="EP313" i="1"/>
  <c r="EL313" i="1"/>
  <c r="EI194" i="1"/>
  <c r="EP193" i="1"/>
  <c r="EL193" i="1"/>
  <c r="EV192" i="1"/>
  <c r="FB192" i="1" s="1"/>
  <c r="EQ192" i="1"/>
  <c r="EO192" i="1"/>
  <c r="ET192" i="1"/>
  <c r="ER192" i="1"/>
  <c r="CM193" i="1"/>
  <c r="CJ193" i="1"/>
  <c r="CO193" i="1"/>
  <c r="CU193" i="1" s="1"/>
  <c r="CK193" i="1"/>
  <c r="CH193" i="1"/>
  <c r="CB195" i="1"/>
  <c r="CI194" i="1"/>
  <c r="CE194" i="1"/>
  <c r="EW191" i="1"/>
  <c r="EX191" i="1" s="1"/>
  <c r="EU191" i="1"/>
  <c r="FA191" i="1"/>
  <c r="EN191" i="1"/>
  <c r="EJ191" i="1" s="1"/>
  <c r="EG191" i="1" s="1"/>
  <c r="EF191" i="1" s="1"/>
  <c r="EY191" i="1"/>
  <c r="EZ191" i="1" s="1"/>
  <c r="ES191" i="1"/>
  <c r="CN192" i="1"/>
  <c r="CT192" i="1"/>
  <c r="CR192" i="1"/>
  <c r="CS192" i="1" s="1"/>
  <c r="CP192" i="1"/>
  <c r="CQ192" i="1" s="1"/>
  <c r="CL192" i="1"/>
  <c r="CG192" i="1"/>
  <c r="CC192" i="1" s="1"/>
  <c r="BZ192" i="1" s="1"/>
  <c r="BY192" i="1" s="1"/>
  <c r="CO70" i="1"/>
  <c r="CU70" i="1" s="1"/>
  <c r="CJ70" i="1"/>
  <c r="CK70" i="1"/>
  <c r="CH70" i="1"/>
  <c r="CM70" i="1"/>
  <c r="CB72" i="1"/>
  <c r="CE71" i="1"/>
  <c r="CI71" i="1"/>
  <c r="DM69" i="1"/>
  <c r="DR69" i="1"/>
  <c r="DT69" i="1"/>
  <c r="DZ69" i="1" s="1"/>
  <c r="DO69" i="1"/>
  <c r="DP69" i="1"/>
  <c r="FV69" i="1"/>
  <c r="FW69" i="1"/>
  <c r="FT69" i="1"/>
  <c r="FY69" i="1"/>
  <c r="GA69" i="1"/>
  <c r="GG69" i="1" s="1"/>
  <c r="FS69" i="1" s="1"/>
  <c r="FO69" i="1" s="1"/>
  <c r="FL69" i="1" s="1"/>
  <c r="FK69" i="1" s="1"/>
  <c r="EV72" i="1"/>
  <c r="FB72" i="1" s="1"/>
  <c r="ET72" i="1"/>
  <c r="EO72" i="1"/>
  <c r="ER72" i="1"/>
  <c r="EQ72" i="1"/>
  <c r="EL73" i="1"/>
  <c r="EI74" i="1"/>
  <c r="EP73" i="1"/>
  <c r="DG71" i="1"/>
  <c r="DJ70" i="1"/>
  <c r="DN70" i="1"/>
  <c r="DU68" i="1"/>
  <c r="DV68" i="1" s="1"/>
  <c r="DQ68" i="1"/>
  <c r="DW68" i="1"/>
  <c r="DX68" i="1" s="1"/>
  <c r="DY68" i="1"/>
  <c r="DL68" i="1"/>
  <c r="DH68" i="1" s="1"/>
  <c r="DE68" i="1" s="1"/>
  <c r="DD68" i="1" s="1"/>
  <c r="DS68" i="1"/>
  <c r="FN71" i="1"/>
  <c r="FQ70" i="1"/>
  <c r="FU70" i="1"/>
  <c r="FA71" i="1"/>
  <c r="EW71" i="1"/>
  <c r="EX71" i="1" s="1"/>
  <c r="EY71" i="1"/>
  <c r="EZ71" i="1" s="1"/>
  <c r="EN71" i="1"/>
  <c r="EJ71" i="1" s="1"/>
  <c r="EG71" i="1" s="1"/>
  <c r="EF71" i="1" s="1"/>
  <c r="ES71" i="1"/>
  <c r="EU71" i="1"/>
  <c r="CG69" i="1"/>
  <c r="CC69" i="1" s="1"/>
  <c r="BZ69" i="1" s="1"/>
  <c r="BY69" i="1" s="1"/>
  <c r="CT69" i="1"/>
  <c r="CP69" i="1"/>
  <c r="CQ69" i="1" s="1"/>
  <c r="CL69" i="1"/>
  <c r="CN69" i="1"/>
  <c r="CR69" i="1"/>
  <c r="CS69" i="1" s="1"/>
  <c r="GD68" i="1"/>
  <c r="GE68" i="1" s="1"/>
  <c r="FZ68" i="1"/>
  <c r="FX68" i="1"/>
  <c r="GF68" i="1"/>
  <c r="GB68" i="1"/>
  <c r="GC68" i="1" s="1"/>
  <c r="GB189" i="1" l="1"/>
  <c r="GC189" i="1" s="1"/>
  <c r="GF189" i="1"/>
  <c r="GD189" i="1"/>
  <c r="GE189" i="1" s="1"/>
  <c r="FX189" i="1"/>
  <c r="FZ189" i="1"/>
  <c r="DJ312" i="1"/>
  <c r="DN312" i="1"/>
  <c r="DY189" i="1"/>
  <c r="DS189" i="1"/>
  <c r="DL189" i="1"/>
  <c r="DH189" i="1" s="1"/>
  <c r="DE189" i="1" s="1"/>
  <c r="DD189" i="1" s="1"/>
  <c r="DU189" i="1"/>
  <c r="DV189" i="1" s="1"/>
  <c r="DW189" i="1"/>
  <c r="DX189" i="1" s="1"/>
  <c r="DQ189" i="1"/>
  <c r="GA312" i="1"/>
  <c r="GG312" i="1" s="1"/>
  <c r="FS312" i="1" s="1"/>
  <c r="FO312" i="1" s="1"/>
  <c r="FL312" i="1" s="1"/>
  <c r="FK312" i="1" s="1"/>
  <c r="FV312" i="1"/>
  <c r="FY312" i="1"/>
  <c r="FW312" i="1"/>
  <c r="FT312" i="1"/>
  <c r="DM190" i="1"/>
  <c r="DR190" i="1"/>
  <c r="DT190" i="1"/>
  <c r="DZ190" i="1" s="1"/>
  <c r="DO190" i="1"/>
  <c r="DP190" i="1"/>
  <c r="DG192" i="1"/>
  <c r="DN191" i="1"/>
  <c r="DJ191" i="1"/>
  <c r="FY190" i="1"/>
  <c r="FV190" i="1"/>
  <c r="FW190" i="1"/>
  <c r="FT190" i="1"/>
  <c r="GA190" i="1"/>
  <c r="GG190" i="1" s="1"/>
  <c r="FS190" i="1" s="1"/>
  <c r="FO190" i="1" s="1"/>
  <c r="FL190" i="1" s="1"/>
  <c r="FK190" i="1" s="1"/>
  <c r="DT311" i="1"/>
  <c r="DZ311" i="1" s="1"/>
  <c r="DO311" i="1"/>
  <c r="DR311" i="1"/>
  <c r="DM311" i="1"/>
  <c r="DP311" i="1"/>
  <c r="DQ310" i="1"/>
  <c r="DY310" i="1"/>
  <c r="DL310" i="1"/>
  <c r="DH310" i="1" s="1"/>
  <c r="DE310" i="1" s="1"/>
  <c r="DD310" i="1" s="1"/>
  <c r="DU310" i="1"/>
  <c r="DV310" i="1" s="1"/>
  <c r="DW310" i="1"/>
  <c r="DX310" i="1" s="1"/>
  <c r="DS310" i="1"/>
  <c r="FQ313" i="1"/>
  <c r="FU313" i="1"/>
  <c r="GF311" i="1"/>
  <c r="GB311" i="1"/>
  <c r="GC311" i="1" s="1"/>
  <c r="GD311" i="1"/>
  <c r="GE311" i="1" s="1"/>
  <c r="FX311" i="1"/>
  <c r="FZ311" i="1"/>
  <c r="FQ191" i="1"/>
  <c r="FU191" i="1"/>
  <c r="FN192" i="1"/>
  <c r="ER313" i="1"/>
  <c r="EV313" i="1"/>
  <c r="FB313" i="1" s="1"/>
  <c r="EQ313" i="1"/>
  <c r="ET313" i="1"/>
  <c r="EO313" i="1"/>
  <c r="FN314" i="1"/>
  <c r="CI314" i="1"/>
  <c r="CB315" i="1"/>
  <c r="CE314" i="1"/>
  <c r="EI315" i="1"/>
  <c r="EP314" i="1"/>
  <c r="EL314" i="1"/>
  <c r="CN312" i="1"/>
  <c r="CR312" i="1"/>
  <c r="CS312" i="1" s="1"/>
  <c r="CP312" i="1"/>
  <c r="CQ312" i="1" s="1"/>
  <c r="CL312" i="1"/>
  <c r="CG312" i="1"/>
  <c r="CC312" i="1" s="1"/>
  <c r="BZ312" i="1" s="1"/>
  <c r="BY312" i="1" s="1"/>
  <c r="CT312" i="1"/>
  <c r="ES312" i="1"/>
  <c r="FA312" i="1"/>
  <c r="EW312" i="1"/>
  <c r="EX312" i="1" s="1"/>
  <c r="EN312" i="1"/>
  <c r="EJ312" i="1" s="1"/>
  <c r="EG312" i="1" s="1"/>
  <c r="EF312" i="1" s="1"/>
  <c r="EY312" i="1"/>
  <c r="EZ312" i="1" s="1"/>
  <c r="EU312" i="1"/>
  <c r="CM313" i="1"/>
  <c r="CJ313" i="1"/>
  <c r="CH313" i="1"/>
  <c r="CO313" i="1"/>
  <c r="CU313" i="1" s="1"/>
  <c r="CK313" i="1"/>
  <c r="DG313" i="1"/>
  <c r="CB196" i="1"/>
  <c r="CI195" i="1"/>
  <c r="CE195" i="1"/>
  <c r="EP194" i="1"/>
  <c r="EI195" i="1"/>
  <c r="EL194" i="1"/>
  <c r="EN192" i="1"/>
  <c r="EJ192" i="1" s="1"/>
  <c r="EG192" i="1" s="1"/>
  <c r="EF192" i="1" s="1"/>
  <c r="FA192" i="1"/>
  <c r="ES192" i="1"/>
  <c r="EW192" i="1"/>
  <c r="EX192" i="1" s="1"/>
  <c r="EU192" i="1"/>
  <c r="EY192" i="1"/>
  <c r="EZ192" i="1" s="1"/>
  <c r="ER193" i="1"/>
  <c r="EO193" i="1"/>
  <c r="ET193" i="1"/>
  <c r="EQ193" i="1"/>
  <c r="EV193" i="1"/>
  <c r="FB193" i="1" s="1"/>
  <c r="CN193" i="1"/>
  <c r="CR193" i="1"/>
  <c r="CS193" i="1" s="1"/>
  <c r="CG193" i="1"/>
  <c r="CC193" i="1" s="1"/>
  <c r="BZ193" i="1" s="1"/>
  <c r="BY193" i="1" s="1"/>
  <c r="CL193" i="1"/>
  <c r="CT193" i="1"/>
  <c r="CP193" i="1"/>
  <c r="CQ193" i="1" s="1"/>
  <c r="CJ194" i="1"/>
  <c r="CK194" i="1"/>
  <c r="CH194" i="1"/>
  <c r="CO194" i="1"/>
  <c r="CU194" i="1" s="1"/>
  <c r="CM194" i="1"/>
  <c r="FZ69" i="1"/>
  <c r="GD69" i="1"/>
  <c r="GE69" i="1" s="1"/>
  <c r="GB69" i="1"/>
  <c r="GC69" i="1" s="1"/>
  <c r="FX69" i="1"/>
  <c r="GF69" i="1"/>
  <c r="CH71" i="1"/>
  <c r="CK71" i="1"/>
  <c r="CO71" i="1"/>
  <c r="CU71" i="1" s="1"/>
  <c r="CJ71" i="1"/>
  <c r="CM71" i="1"/>
  <c r="FV70" i="1"/>
  <c r="FW70" i="1"/>
  <c r="FY70" i="1"/>
  <c r="FT70" i="1"/>
  <c r="GA70" i="1"/>
  <c r="GG70" i="1" s="1"/>
  <c r="FS70" i="1" s="1"/>
  <c r="FO70" i="1" s="1"/>
  <c r="FL70" i="1" s="1"/>
  <c r="FK70" i="1" s="1"/>
  <c r="CB73" i="1"/>
  <c r="CE72" i="1"/>
  <c r="CI72" i="1"/>
  <c r="DM70" i="1"/>
  <c r="DT70" i="1"/>
  <c r="DZ70" i="1" s="1"/>
  <c r="DR70" i="1"/>
  <c r="DO70" i="1"/>
  <c r="DP70" i="1"/>
  <c r="ES72" i="1"/>
  <c r="EN72" i="1"/>
  <c r="EJ72" i="1" s="1"/>
  <c r="EG72" i="1" s="1"/>
  <c r="EF72" i="1" s="1"/>
  <c r="FA72" i="1"/>
  <c r="EW72" i="1"/>
  <c r="EX72" i="1" s="1"/>
  <c r="EU72" i="1"/>
  <c r="EY72" i="1"/>
  <c r="EZ72" i="1" s="1"/>
  <c r="FN72" i="1"/>
  <c r="FQ71" i="1"/>
  <c r="FU71" i="1"/>
  <c r="CN70" i="1"/>
  <c r="CR70" i="1"/>
  <c r="CS70" i="1" s="1"/>
  <c r="CT70" i="1"/>
  <c r="CP70" i="1"/>
  <c r="CQ70" i="1" s="1"/>
  <c r="CG70" i="1"/>
  <c r="CC70" i="1" s="1"/>
  <c r="BZ70" i="1" s="1"/>
  <c r="BY70" i="1" s="1"/>
  <c r="CL70" i="1"/>
  <c r="DJ71" i="1"/>
  <c r="DG72" i="1"/>
  <c r="DN71" i="1"/>
  <c r="ET73" i="1"/>
  <c r="EO73" i="1"/>
  <c r="EV73" i="1"/>
  <c r="FB73" i="1" s="1"/>
  <c r="ER73" i="1"/>
  <c r="EQ73" i="1"/>
  <c r="EL74" i="1"/>
  <c r="EI75" i="1"/>
  <c r="EP74" i="1"/>
  <c r="DL69" i="1"/>
  <c r="DH69" i="1" s="1"/>
  <c r="DE69" i="1" s="1"/>
  <c r="DD69" i="1" s="1"/>
  <c r="DQ69" i="1"/>
  <c r="DU69" i="1"/>
  <c r="DV69" i="1" s="1"/>
  <c r="DW69" i="1"/>
  <c r="DX69" i="1" s="1"/>
  <c r="DY69" i="1"/>
  <c r="DS69" i="1"/>
  <c r="DP312" i="1" l="1"/>
  <c r="DR312" i="1"/>
  <c r="DM312" i="1"/>
  <c r="DO312" i="1"/>
  <c r="DT312" i="1"/>
  <c r="DZ312" i="1" s="1"/>
  <c r="GB190" i="1"/>
  <c r="GC190" i="1" s="1"/>
  <c r="GD190" i="1"/>
  <c r="GE190" i="1" s="1"/>
  <c r="FX190" i="1"/>
  <c r="GF190" i="1"/>
  <c r="FZ190" i="1"/>
  <c r="FQ192" i="1"/>
  <c r="FU192" i="1"/>
  <c r="FN193" i="1"/>
  <c r="GA313" i="1"/>
  <c r="GG313" i="1" s="1"/>
  <c r="FS313" i="1" s="1"/>
  <c r="FO313" i="1" s="1"/>
  <c r="FL313" i="1" s="1"/>
  <c r="FK313" i="1" s="1"/>
  <c r="FV313" i="1"/>
  <c r="FY313" i="1"/>
  <c r="FT313" i="1"/>
  <c r="FW313" i="1"/>
  <c r="FQ314" i="1"/>
  <c r="FU314" i="1"/>
  <c r="FW191" i="1"/>
  <c r="FY191" i="1"/>
  <c r="FT191" i="1"/>
  <c r="FV191" i="1"/>
  <c r="GA191" i="1"/>
  <c r="GG191" i="1" s="1"/>
  <c r="FS191" i="1" s="1"/>
  <c r="FO191" i="1" s="1"/>
  <c r="FL191" i="1" s="1"/>
  <c r="FK191" i="1" s="1"/>
  <c r="DL311" i="1"/>
  <c r="DU311" i="1"/>
  <c r="DV311" i="1" s="1"/>
  <c r="DW311" i="1"/>
  <c r="DX311" i="1" s="1"/>
  <c r="DY311" i="1"/>
  <c r="DQ311" i="1"/>
  <c r="DS311" i="1"/>
  <c r="DL190" i="1"/>
  <c r="DH190" i="1" s="1"/>
  <c r="DE190" i="1" s="1"/>
  <c r="DD190" i="1" s="1"/>
  <c r="DY190" i="1"/>
  <c r="DW190" i="1"/>
  <c r="DX190" i="1" s="1"/>
  <c r="DQ190" i="1"/>
  <c r="DS190" i="1"/>
  <c r="DU190" i="1"/>
  <c r="DV190" i="1" s="1"/>
  <c r="DG193" i="1"/>
  <c r="DN192" i="1"/>
  <c r="DJ192" i="1"/>
  <c r="DJ313" i="1"/>
  <c r="DN313" i="1"/>
  <c r="GD312" i="1"/>
  <c r="GE312" i="1" s="1"/>
  <c r="FX312" i="1"/>
  <c r="GF312" i="1"/>
  <c r="FZ312" i="1"/>
  <c r="GB312" i="1"/>
  <c r="GC312" i="1" s="1"/>
  <c r="DO191" i="1"/>
  <c r="DR191" i="1"/>
  <c r="DM191" i="1"/>
  <c r="DT191" i="1"/>
  <c r="DZ191" i="1" s="1"/>
  <c r="DP191" i="1"/>
  <c r="FN315" i="1"/>
  <c r="DG314" i="1"/>
  <c r="CT313" i="1"/>
  <c r="CL313" i="1"/>
  <c r="CG313" i="1"/>
  <c r="CC313" i="1" s="1"/>
  <c r="BZ313" i="1" s="1"/>
  <c r="BY313" i="1" s="1"/>
  <c r="CP313" i="1"/>
  <c r="CQ313" i="1" s="1"/>
  <c r="CR313" i="1"/>
  <c r="CS313" i="1" s="1"/>
  <c r="CN313" i="1"/>
  <c r="EV314" i="1"/>
  <c r="FB314" i="1" s="1"/>
  <c r="ER314" i="1"/>
  <c r="EQ314" i="1"/>
  <c r="EO314" i="1"/>
  <c r="ET314" i="1"/>
  <c r="DH311" i="1"/>
  <c r="DE311" i="1" s="1"/>
  <c r="DD311" i="1" s="1"/>
  <c r="EN313" i="1"/>
  <c r="EJ313" i="1" s="1"/>
  <c r="EG313" i="1" s="1"/>
  <c r="EF313" i="1" s="1"/>
  <c r="FA313" i="1"/>
  <c r="EW313" i="1"/>
  <c r="EX313" i="1" s="1"/>
  <c r="ES313" i="1"/>
  <c r="EU313" i="1"/>
  <c r="EY313" i="1"/>
  <c r="EZ313" i="1" s="1"/>
  <c r="EI316" i="1"/>
  <c r="EP315" i="1"/>
  <c r="EL315" i="1"/>
  <c r="CI315" i="1"/>
  <c r="CB316" i="1"/>
  <c r="CE315" i="1"/>
  <c r="CM314" i="1"/>
  <c r="CJ314" i="1"/>
  <c r="CH314" i="1"/>
  <c r="CO314" i="1"/>
  <c r="CU314" i="1" s="1"/>
  <c r="CK314" i="1"/>
  <c r="EP195" i="1"/>
  <c r="EI196" i="1"/>
  <c r="EL195" i="1"/>
  <c r="EV194" i="1"/>
  <c r="FB194" i="1" s="1"/>
  <c r="ET194" i="1"/>
  <c r="ER194" i="1"/>
  <c r="EQ194" i="1"/>
  <c r="EO194" i="1"/>
  <c r="CR194" i="1"/>
  <c r="CS194" i="1" s="1"/>
  <c r="CN194" i="1"/>
  <c r="CP194" i="1"/>
  <c r="CQ194" i="1" s="1"/>
  <c r="CG194" i="1"/>
  <c r="CC194" i="1" s="1"/>
  <c r="BZ194" i="1" s="1"/>
  <c r="BY194" i="1" s="1"/>
  <c r="CT194" i="1"/>
  <c r="CL194" i="1"/>
  <c r="CO195" i="1"/>
  <c r="CU195" i="1" s="1"/>
  <c r="CM195" i="1"/>
  <c r="CK195" i="1"/>
  <c r="CJ195" i="1"/>
  <c r="CH195" i="1"/>
  <c r="FA193" i="1"/>
  <c r="ES193" i="1"/>
  <c r="EW193" i="1"/>
  <c r="EX193" i="1" s="1"/>
  <c r="EU193" i="1"/>
  <c r="EN193" i="1"/>
  <c r="EJ193" i="1" s="1"/>
  <c r="EG193" i="1" s="1"/>
  <c r="EF193" i="1" s="1"/>
  <c r="EY193" i="1"/>
  <c r="EZ193" i="1" s="1"/>
  <c r="CI196" i="1"/>
  <c r="CB197" i="1"/>
  <c r="CE196" i="1"/>
  <c r="DJ72" i="1"/>
  <c r="DG73" i="1"/>
  <c r="DN72" i="1"/>
  <c r="FV71" i="1"/>
  <c r="FY71" i="1"/>
  <c r="FT71" i="1"/>
  <c r="GA71" i="1"/>
  <c r="GG71" i="1" s="1"/>
  <c r="FS71" i="1" s="1"/>
  <c r="FO71" i="1" s="1"/>
  <c r="FL71" i="1" s="1"/>
  <c r="FK71" i="1" s="1"/>
  <c r="FW71" i="1"/>
  <c r="CE73" i="1"/>
  <c r="CB74" i="1"/>
  <c r="CI73" i="1"/>
  <c r="FN73" i="1"/>
  <c r="FQ72" i="1"/>
  <c r="FU72" i="1"/>
  <c r="GB70" i="1"/>
  <c r="GC70" i="1" s="1"/>
  <c r="GD70" i="1"/>
  <c r="GE70" i="1" s="1"/>
  <c r="FX70" i="1"/>
  <c r="GF70" i="1"/>
  <c r="FZ70" i="1"/>
  <c r="CR71" i="1"/>
  <c r="CS71" i="1" s="1"/>
  <c r="CT71" i="1"/>
  <c r="CP71" i="1"/>
  <c r="CQ71" i="1" s="1"/>
  <c r="CG71" i="1"/>
  <c r="CC71" i="1" s="1"/>
  <c r="BZ71" i="1" s="1"/>
  <c r="BY71" i="1" s="1"/>
  <c r="CL71" i="1"/>
  <c r="CN71" i="1"/>
  <c r="FA73" i="1"/>
  <c r="EU73" i="1"/>
  <c r="EY73" i="1"/>
  <c r="EZ73" i="1" s="1"/>
  <c r="ES73" i="1"/>
  <c r="EN73" i="1"/>
  <c r="EJ73" i="1" s="1"/>
  <c r="EG73" i="1" s="1"/>
  <c r="EF73" i="1" s="1"/>
  <c r="EW73" i="1"/>
  <c r="EX73" i="1" s="1"/>
  <c r="DY70" i="1"/>
  <c r="DU70" i="1"/>
  <c r="DV70" i="1" s="1"/>
  <c r="DW70" i="1"/>
  <c r="DX70" i="1" s="1"/>
  <c r="DQ70" i="1"/>
  <c r="DS70" i="1"/>
  <c r="DL70" i="1"/>
  <c r="DH70" i="1" s="1"/>
  <c r="DE70" i="1" s="1"/>
  <c r="DD70" i="1" s="1"/>
  <c r="CH72" i="1"/>
  <c r="CK72" i="1"/>
  <c r="CM72" i="1"/>
  <c r="CJ72" i="1"/>
  <c r="CO72" i="1"/>
  <c r="CU72" i="1" s="1"/>
  <c r="EI76" i="1"/>
  <c r="EL75" i="1"/>
  <c r="EP75" i="1"/>
  <c r="ER74" i="1"/>
  <c r="EV74" i="1"/>
  <c r="FB74" i="1" s="1"/>
  <c r="EQ74" i="1"/>
  <c r="ET74" i="1"/>
  <c r="EO74" i="1"/>
  <c r="DM71" i="1"/>
  <c r="DR71" i="1"/>
  <c r="DO71" i="1"/>
  <c r="DP71" i="1"/>
  <c r="DT71" i="1"/>
  <c r="DZ71" i="1" s="1"/>
  <c r="DO192" i="1" l="1"/>
  <c r="DP192" i="1"/>
  <c r="DM192" i="1"/>
  <c r="DT192" i="1"/>
  <c r="DZ192" i="1" s="1"/>
  <c r="DR192" i="1"/>
  <c r="GD191" i="1"/>
  <c r="GE191" i="1" s="1"/>
  <c r="GB191" i="1"/>
  <c r="GC191" i="1" s="1"/>
  <c r="GF191" i="1"/>
  <c r="FX191" i="1"/>
  <c r="FZ191" i="1"/>
  <c r="DJ193" i="1"/>
  <c r="DN193" i="1"/>
  <c r="DG194" i="1"/>
  <c r="FQ193" i="1"/>
  <c r="FU193" i="1"/>
  <c r="FN194" i="1"/>
  <c r="DJ314" i="1"/>
  <c r="DN314" i="1"/>
  <c r="FY314" i="1"/>
  <c r="FT314" i="1"/>
  <c r="FW314" i="1"/>
  <c r="FV314" i="1"/>
  <c r="GA314" i="1"/>
  <c r="GG314" i="1" s="1"/>
  <c r="FS314" i="1" s="1"/>
  <c r="FO314" i="1" s="1"/>
  <c r="FL314" i="1" s="1"/>
  <c r="FK314" i="1" s="1"/>
  <c r="FT192" i="1"/>
  <c r="FV192" i="1"/>
  <c r="FW192" i="1"/>
  <c r="FY192" i="1"/>
  <c r="GA192" i="1"/>
  <c r="GG192" i="1" s="1"/>
  <c r="FS192" i="1" s="1"/>
  <c r="FO192" i="1" s="1"/>
  <c r="FL192" i="1" s="1"/>
  <c r="FK192" i="1" s="1"/>
  <c r="FQ315" i="1"/>
  <c r="FU315" i="1"/>
  <c r="DS312" i="1"/>
  <c r="DL312" i="1"/>
  <c r="DH312" i="1" s="1"/>
  <c r="DE312" i="1" s="1"/>
  <c r="DD312" i="1" s="1"/>
  <c r="DU312" i="1"/>
  <c r="DV312" i="1" s="1"/>
  <c r="DW312" i="1"/>
  <c r="DX312" i="1" s="1"/>
  <c r="DY312" i="1"/>
  <c r="DQ312" i="1"/>
  <c r="DS191" i="1"/>
  <c r="DL191" i="1"/>
  <c r="DH191" i="1" s="1"/>
  <c r="DE191" i="1" s="1"/>
  <c r="DD191" i="1" s="1"/>
  <c r="DU191" i="1"/>
  <c r="DV191" i="1" s="1"/>
  <c r="DQ191" i="1"/>
  <c r="DY191" i="1"/>
  <c r="DW191" i="1"/>
  <c r="DX191" i="1" s="1"/>
  <c r="DR313" i="1"/>
  <c r="DM313" i="1"/>
  <c r="DO313" i="1"/>
  <c r="DP313" i="1"/>
  <c r="DT313" i="1"/>
  <c r="DZ313" i="1" s="1"/>
  <c r="FZ313" i="1"/>
  <c r="GB313" i="1"/>
  <c r="GC313" i="1" s="1"/>
  <c r="GD313" i="1"/>
  <c r="GE313" i="1" s="1"/>
  <c r="FX313" i="1"/>
  <c r="GF313" i="1"/>
  <c r="CI316" i="1"/>
  <c r="CB317" i="1"/>
  <c r="CE316" i="1"/>
  <c r="CM315" i="1"/>
  <c r="CJ315" i="1"/>
  <c r="CH315" i="1"/>
  <c r="CO315" i="1"/>
  <c r="CU315" i="1" s="1"/>
  <c r="CK315" i="1"/>
  <c r="DG315" i="1"/>
  <c r="CT314" i="1"/>
  <c r="CP314" i="1"/>
  <c r="CQ314" i="1" s="1"/>
  <c r="CN314" i="1"/>
  <c r="CL314" i="1"/>
  <c r="CG314" i="1"/>
  <c r="CC314" i="1" s="1"/>
  <c r="BZ314" i="1" s="1"/>
  <c r="BY314" i="1" s="1"/>
  <c r="CR314" i="1"/>
  <c r="CS314" i="1" s="1"/>
  <c r="EN314" i="1"/>
  <c r="EJ314" i="1" s="1"/>
  <c r="EG314" i="1" s="1"/>
  <c r="EF314" i="1" s="1"/>
  <c r="FA314" i="1"/>
  <c r="EW314" i="1"/>
  <c r="EX314" i="1" s="1"/>
  <c r="EY314" i="1"/>
  <c r="EZ314" i="1" s="1"/>
  <c r="EU314" i="1"/>
  <c r="ES314" i="1"/>
  <c r="ER315" i="1"/>
  <c r="EV315" i="1"/>
  <c r="FB315" i="1" s="1"/>
  <c r="EQ315" i="1"/>
  <c r="ET315" i="1"/>
  <c r="EO315" i="1"/>
  <c r="EI317" i="1"/>
  <c r="EP316" i="1"/>
  <c r="EL316" i="1"/>
  <c r="FN316" i="1"/>
  <c r="EN194" i="1"/>
  <c r="EJ194" i="1" s="1"/>
  <c r="EG194" i="1" s="1"/>
  <c r="EF194" i="1" s="1"/>
  <c r="EU194" i="1"/>
  <c r="FA194" i="1"/>
  <c r="ES194" i="1"/>
  <c r="EW194" i="1"/>
  <c r="EX194" i="1" s="1"/>
  <c r="EY194" i="1"/>
  <c r="EZ194" i="1" s="1"/>
  <c r="CB198" i="1"/>
  <c r="CI197" i="1"/>
  <c r="CE197" i="1"/>
  <c r="CG195" i="1"/>
  <c r="CC195" i="1" s="1"/>
  <c r="BZ195" i="1" s="1"/>
  <c r="BY195" i="1" s="1"/>
  <c r="CT195" i="1"/>
  <c r="CL195" i="1"/>
  <c r="CR195" i="1"/>
  <c r="CS195" i="1" s="1"/>
  <c r="CP195" i="1"/>
  <c r="CQ195" i="1" s="1"/>
  <c r="CN195" i="1"/>
  <c r="CK196" i="1"/>
  <c r="CH196" i="1"/>
  <c r="CO196" i="1"/>
  <c r="CU196" i="1" s="1"/>
  <c r="CM196" i="1"/>
  <c r="CJ196" i="1"/>
  <c r="EP196" i="1"/>
  <c r="EI197" i="1"/>
  <c r="EL196" i="1"/>
  <c r="ET195" i="1"/>
  <c r="ER195" i="1"/>
  <c r="EQ195" i="1"/>
  <c r="EV195" i="1"/>
  <c r="FB195" i="1" s="1"/>
  <c r="EO195" i="1"/>
  <c r="GA72" i="1"/>
  <c r="GG72" i="1" s="1"/>
  <c r="FS72" i="1" s="1"/>
  <c r="FO72" i="1" s="1"/>
  <c r="FL72" i="1" s="1"/>
  <c r="FK72" i="1" s="1"/>
  <c r="FV72" i="1"/>
  <c r="FW72" i="1"/>
  <c r="FY72" i="1"/>
  <c r="FT72" i="1"/>
  <c r="GD71" i="1"/>
  <c r="GE71" i="1" s="1"/>
  <c r="FZ71" i="1"/>
  <c r="FX71" i="1"/>
  <c r="GF71" i="1"/>
  <c r="GB71" i="1"/>
  <c r="GC71" i="1" s="1"/>
  <c r="ER75" i="1"/>
  <c r="ET75" i="1"/>
  <c r="EO75" i="1"/>
  <c r="EV75" i="1"/>
  <c r="FB75" i="1" s="1"/>
  <c r="EQ75" i="1"/>
  <c r="FN74" i="1"/>
  <c r="FQ73" i="1"/>
  <c r="FU73" i="1"/>
  <c r="CT72" i="1"/>
  <c r="CP72" i="1"/>
  <c r="CQ72" i="1" s="1"/>
  <c r="CR72" i="1"/>
  <c r="CS72" i="1" s="1"/>
  <c r="CG72" i="1"/>
  <c r="CC72" i="1" s="1"/>
  <c r="BZ72" i="1" s="1"/>
  <c r="BY72" i="1" s="1"/>
  <c r="CL72" i="1"/>
  <c r="CN72" i="1"/>
  <c r="CK73" i="1"/>
  <c r="CM73" i="1"/>
  <c r="CO73" i="1"/>
  <c r="CU73" i="1" s="1"/>
  <c r="CH73" i="1"/>
  <c r="CJ73" i="1"/>
  <c r="DO72" i="1"/>
  <c r="DP72" i="1"/>
  <c r="DT72" i="1"/>
  <c r="DZ72" i="1" s="1"/>
  <c r="DR72" i="1"/>
  <c r="DM72" i="1"/>
  <c r="EL76" i="1"/>
  <c r="EI77" i="1"/>
  <c r="EP76" i="1"/>
  <c r="CB75" i="1"/>
  <c r="CE74" i="1"/>
  <c r="CI74" i="1"/>
  <c r="DJ73" i="1"/>
  <c r="DG74" i="1"/>
  <c r="DN73" i="1"/>
  <c r="DS71" i="1"/>
  <c r="DU71" i="1"/>
  <c r="DV71" i="1" s="1"/>
  <c r="DW71" i="1"/>
  <c r="DX71" i="1" s="1"/>
  <c r="DL71" i="1"/>
  <c r="DH71" i="1" s="1"/>
  <c r="DE71" i="1" s="1"/>
  <c r="DD71" i="1" s="1"/>
  <c r="DY71" i="1"/>
  <c r="DQ71" i="1"/>
  <c r="EW74" i="1"/>
  <c r="EX74" i="1" s="1"/>
  <c r="ES74" i="1"/>
  <c r="EU74" i="1"/>
  <c r="FA74" i="1"/>
  <c r="EY74" i="1"/>
  <c r="EZ74" i="1" s="1"/>
  <c r="EN74" i="1"/>
  <c r="EJ74" i="1" s="1"/>
  <c r="EG74" i="1" s="1"/>
  <c r="EF74" i="1" s="1"/>
  <c r="GF192" i="1" l="1"/>
  <c r="GB192" i="1"/>
  <c r="GC192" i="1" s="1"/>
  <c r="GD192" i="1"/>
  <c r="GE192" i="1" s="1"/>
  <c r="FX192" i="1"/>
  <c r="FZ192" i="1"/>
  <c r="FQ194" i="1"/>
  <c r="FU194" i="1"/>
  <c r="FN195" i="1"/>
  <c r="FY193" i="1"/>
  <c r="FV193" i="1"/>
  <c r="FT193" i="1"/>
  <c r="FW193" i="1"/>
  <c r="GA193" i="1"/>
  <c r="GG193" i="1" s="1"/>
  <c r="FS193" i="1" s="1"/>
  <c r="FO193" i="1" s="1"/>
  <c r="FL193" i="1" s="1"/>
  <c r="FK193" i="1" s="1"/>
  <c r="FY315" i="1"/>
  <c r="FT315" i="1"/>
  <c r="FV315" i="1"/>
  <c r="FW315" i="1"/>
  <c r="GA315" i="1"/>
  <c r="GG315" i="1" s="1"/>
  <c r="FS315" i="1" s="1"/>
  <c r="FO315" i="1" s="1"/>
  <c r="FL315" i="1" s="1"/>
  <c r="FK315" i="1" s="1"/>
  <c r="DG195" i="1"/>
  <c r="DN194" i="1"/>
  <c r="DJ194" i="1"/>
  <c r="DJ315" i="1"/>
  <c r="DN315" i="1"/>
  <c r="DW313" i="1"/>
  <c r="DX313" i="1" s="1"/>
  <c r="DY313" i="1"/>
  <c r="DU313" i="1"/>
  <c r="DV313" i="1" s="1"/>
  <c r="DQ313" i="1"/>
  <c r="DL313" i="1"/>
  <c r="DH313" i="1" s="1"/>
  <c r="DE313" i="1" s="1"/>
  <c r="DD313" i="1" s="1"/>
  <c r="DS313" i="1"/>
  <c r="FZ314" i="1"/>
  <c r="GB314" i="1"/>
  <c r="GC314" i="1" s="1"/>
  <c r="GF314" i="1"/>
  <c r="FX314" i="1"/>
  <c r="GD314" i="1"/>
  <c r="GE314" i="1" s="1"/>
  <c r="DO193" i="1"/>
  <c r="DR193" i="1"/>
  <c r="DT193" i="1"/>
  <c r="DZ193" i="1" s="1"/>
  <c r="DM193" i="1"/>
  <c r="DP193" i="1"/>
  <c r="DQ192" i="1"/>
  <c r="DW192" i="1"/>
  <c r="DX192" i="1" s="1"/>
  <c r="DY192" i="1"/>
  <c r="DU192" i="1"/>
  <c r="DV192" i="1" s="1"/>
  <c r="DL192" i="1"/>
  <c r="DH192" i="1" s="1"/>
  <c r="DE192" i="1" s="1"/>
  <c r="DD192" i="1" s="1"/>
  <c r="DS192" i="1"/>
  <c r="DO314" i="1"/>
  <c r="DP314" i="1"/>
  <c r="DR314" i="1"/>
  <c r="DM314" i="1"/>
  <c r="DT314" i="1"/>
  <c r="DZ314" i="1" s="1"/>
  <c r="FQ316" i="1"/>
  <c r="FU316" i="1"/>
  <c r="FN317" i="1"/>
  <c r="DG316" i="1"/>
  <c r="EV316" i="1"/>
  <c r="FB316" i="1" s="1"/>
  <c r="ER316" i="1"/>
  <c r="ET316" i="1"/>
  <c r="EQ316" i="1"/>
  <c r="EO316" i="1"/>
  <c r="CT315" i="1"/>
  <c r="CL315" i="1"/>
  <c r="CG315" i="1"/>
  <c r="CC315" i="1" s="1"/>
  <c r="BZ315" i="1" s="1"/>
  <c r="BY315" i="1" s="1"/>
  <c r="CP315" i="1"/>
  <c r="CQ315" i="1" s="1"/>
  <c r="CR315" i="1"/>
  <c r="CS315" i="1" s="1"/>
  <c r="CN315" i="1"/>
  <c r="EI318" i="1"/>
  <c r="EP317" i="1"/>
  <c r="EL317" i="1"/>
  <c r="EN315" i="1"/>
  <c r="EJ315" i="1" s="1"/>
  <c r="EG315" i="1" s="1"/>
  <c r="EF315" i="1" s="1"/>
  <c r="FA315" i="1"/>
  <c r="EW315" i="1"/>
  <c r="EX315" i="1" s="1"/>
  <c r="ES315" i="1"/>
  <c r="EU315" i="1"/>
  <c r="EY315" i="1"/>
  <c r="EZ315" i="1" s="1"/>
  <c r="CI317" i="1"/>
  <c r="CE317" i="1"/>
  <c r="CB318" i="1"/>
  <c r="CM316" i="1"/>
  <c r="CJ316" i="1"/>
  <c r="CH316" i="1"/>
  <c r="CO316" i="1"/>
  <c r="CU316" i="1" s="1"/>
  <c r="CK316" i="1"/>
  <c r="EP197" i="1"/>
  <c r="EI198" i="1"/>
  <c r="EL197" i="1"/>
  <c r="CP196" i="1"/>
  <c r="CQ196" i="1" s="1"/>
  <c r="CG196" i="1"/>
  <c r="CC196" i="1" s="1"/>
  <c r="BZ196" i="1" s="1"/>
  <c r="BY196" i="1" s="1"/>
  <c r="CN196" i="1"/>
  <c r="CL196" i="1"/>
  <c r="CT196" i="1"/>
  <c r="CR196" i="1"/>
  <c r="CS196" i="1" s="1"/>
  <c r="EV196" i="1"/>
  <c r="FB196" i="1" s="1"/>
  <c r="ET196" i="1"/>
  <c r="ER196" i="1"/>
  <c r="EQ196" i="1"/>
  <c r="EO196" i="1"/>
  <c r="EY195" i="1"/>
  <c r="EZ195" i="1" s="1"/>
  <c r="EN195" i="1"/>
  <c r="EJ195" i="1" s="1"/>
  <c r="EG195" i="1" s="1"/>
  <c r="EF195" i="1" s="1"/>
  <c r="FA195" i="1"/>
  <c r="EW195" i="1"/>
  <c r="EX195" i="1" s="1"/>
  <c r="EU195" i="1"/>
  <c r="ES195" i="1"/>
  <c r="CO197" i="1"/>
  <c r="CU197" i="1" s="1"/>
  <c r="CM197" i="1"/>
  <c r="CK197" i="1"/>
  <c r="CJ197" i="1"/>
  <c r="CH197" i="1"/>
  <c r="CI198" i="1"/>
  <c r="CB199" i="1"/>
  <c r="CE198" i="1"/>
  <c r="FN75" i="1"/>
  <c r="FQ74" i="1"/>
  <c r="FU74" i="1"/>
  <c r="ET76" i="1"/>
  <c r="EO76" i="1"/>
  <c r="EV76" i="1"/>
  <c r="FB76" i="1" s="1"/>
  <c r="ER76" i="1"/>
  <c r="EQ76" i="1"/>
  <c r="EW75" i="1"/>
  <c r="EX75" i="1" s="1"/>
  <c r="EU75" i="1"/>
  <c r="EY75" i="1"/>
  <c r="EZ75" i="1" s="1"/>
  <c r="FA75" i="1"/>
  <c r="ES75" i="1"/>
  <c r="EN75" i="1"/>
  <c r="EJ75" i="1" s="1"/>
  <c r="EG75" i="1" s="1"/>
  <c r="EF75" i="1" s="1"/>
  <c r="GB72" i="1"/>
  <c r="GC72" i="1" s="1"/>
  <c r="GD72" i="1"/>
  <c r="GE72" i="1" s="1"/>
  <c r="FZ72" i="1"/>
  <c r="FX72" i="1"/>
  <c r="GF72" i="1"/>
  <c r="CJ74" i="1"/>
  <c r="CO74" i="1"/>
  <c r="CU74" i="1" s="1"/>
  <c r="CK74" i="1"/>
  <c r="CM74" i="1"/>
  <c r="CH74" i="1"/>
  <c r="EL77" i="1"/>
  <c r="EI78" i="1"/>
  <c r="EP77" i="1"/>
  <c r="CT73" i="1"/>
  <c r="CP73" i="1"/>
  <c r="CQ73" i="1" s="1"/>
  <c r="CL73" i="1"/>
  <c r="CG73" i="1"/>
  <c r="CC73" i="1" s="1"/>
  <c r="BZ73" i="1" s="1"/>
  <c r="BY73" i="1" s="1"/>
  <c r="CN73" i="1"/>
  <c r="CR73" i="1"/>
  <c r="CS73" i="1" s="1"/>
  <c r="DO73" i="1"/>
  <c r="DT73" i="1"/>
  <c r="DZ73" i="1" s="1"/>
  <c r="DP73" i="1"/>
  <c r="DR73" i="1"/>
  <c r="DM73" i="1"/>
  <c r="DG75" i="1"/>
  <c r="DJ74" i="1"/>
  <c r="DN74" i="1"/>
  <c r="DU72" i="1"/>
  <c r="DV72" i="1" s="1"/>
  <c r="DQ72" i="1"/>
  <c r="DW72" i="1"/>
  <c r="DX72" i="1" s="1"/>
  <c r="DY72" i="1"/>
  <c r="DL72" i="1"/>
  <c r="DH72" i="1" s="1"/>
  <c r="DE72" i="1" s="1"/>
  <c r="DD72" i="1" s="1"/>
  <c r="DS72" i="1"/>
  <c r="FT73" i="1"/>
  <c r="FV73" i="1"/>
  <c r="FW73" i="1"/>
  <c r="FY73" i="1"/>
  <c r="GA73" i="1"/>
  <c r="GG73" i="1" s="1"/>
  <c r="FS73" i="1" s="1"/>
  <c r="FO73" i="1" s="1"/>
  <c r="FL73" i="1" s="1"/>
  <c r="FK73" i="1" s="1"/>
  <c r="CB76" i="1"/>
  <c r="CE75" i="1"/>
  <c r="CI75" i="1"/>
  <c r="FQ195" i="1" l="1"/>
  <c r="FU195" i="1"/>
  <c r="FN196" i="1"/>
  <c r="DO315" i="1"/>
  <c r="DP315" i="1"/>
  <c r="DR315" i="1"/>
  <c r="DM315" i="1"/>
  <c r="DT315" i="1"/>
  <c r="DZ315" i="1" s="1"/>
  <c r="FX315" i="1"/>
  <c r="GB315" i="1"/>
  <c r="GC315" i="1" s="1"/>
  <c r="GD315" i="1"/>
  <c r="GE315" i="1" s="1"/>
  <c r="GF315" i="1"/>
  <c r="FZ315" i="1"/>
  <c r="FW194" i="1"/>
  <c r="FT194" i="1"/>
  <c r="FY194" i="1"/>
  <c r="FV194" i="1"/>
  <c r="GA194" i="1"/>
  <c r="GG194" i="1" s="1"/>
  <c r="FS194" i="1" s="1"/>
  <c r="FO194" i="1" s="1"/>
  <c r="FL194" i="1" s="1"/>
  <c r="FK194" i="1" s="1"/>
  <c r="DQ193" i="1"/>
  <c r="DY193" i="1"/>
  <c r="DU193" i="1"/>
  <c r="DV193" i="1" s="1"/>
  <c r="DW193" i="1"/>
  <c r="DX193" i="1" s="1"/>
  <c r="DS193" i="1"/>
  <c r="DL193" i="1"/>
  <c r="DH193" i="1" s="1"/>
  <c r="DE193" i="1" s="1"/>
  <c r="DD193" i="1" s="1"/>
  <c r="DJ316" i="1"/>
  <c r="DN316" i="1"/>
  <c r="FY316" i="1"/>
  <c r="FT316" i="1"/>
  <c r="FV316" i="1"/>
  <c r="FW316" i="1"/>
  <c r="GA316" i="1"/>
  <c r="GG316" i="1" s="1"/>
  <c r="FS316" i="1" s="1"/>
  <c r="FO316" i="1" s="1"/>
  <c r="FL316" i="1" s="1"/>
  <c r="FK316" i="1" s="1"/>
  <c r="DR194" i="1"/>
  <c r="DT194" i="1"/>
  <c r="DZ194" i="1" s="1"/>
  <c r="DM194" i="1"/>
  <c r="DO194" i="1"/>
  <c r="DP194" i="1"/>
  <c r="FQ317" i="1"/>
  <c r="FU317" i="1"/>
  <c r="DG196" i="1"/>
  <c r="DN195" i="1"/>
  <c r="DJ195" i="1"/>
  <c r="GB193" i="1"/>
  <c r="GC193" i="1" s="1"/>
  <c r="GF193" i="1"/>
  <c r="FZ193" i="1"/>
  <c r="FX193" i="1"/>
  <c r="GD193" i="1"/>
  <c r="GE193" i="1" s="1"/>
  <c r="DW314" i="1"/>
  <c r="DX314" i="1" s="1"/>
  <c r="DL314" i="1"/>
  <c r="DH314" i="1" s="1"/>
  <c r="DE314" i="1" s="1"/>
  <c r="DD314" i="1" s="1"/>
  <c r="DQ314" i="1"/>
  <c r="DY314" i="1"/>
  <c r="DS314" i="1"/>
  <c r="DU314" i="1"/>
  <c r="DV314" i="1" s="1"/>
  <c r="EN316" i="1"/>
  <c r="EJ316" i="1" s="1"/>
  <c r="EG316" i="1" s="1"/>
  <c r="EF316" i="1" s="1"/>
  <c r="FA316" i="1"/>
  <c r="EY316" i="1"/>
  <c r="EZ316" i="1" s="1"/>
  <c r="EW316" i="1"/>
  <c r="EX316" i="1" s="1"/>
  <c r="ES316" i="1"/>
  <c r="EU316" i="1"/>
  <c r="CL316" i="1"/>
  <c r="CT316" i="1"/>
  <c r="CR316" i="1"/>
  <c r="CS316" i="1" s="1"/>
  <c r="CP316" i="1"/>
  <c r="CQ316" i="1" s="1"/>
  <c r="CN316" i="1"/>
  <c r="CG316" i="1"/>
  <c r="CC316" i="1" s="1"/>
  <c r="BZ316" i="1" s="1"/>
  <c r="BY316" i="1" s="1"/>
  <c r="ER317" i="1"/>
  <c r="EQ317" i="1"/>
  <c r="EV317" i="1"/>
  <c r="FB317" i="1" s="1"/>
  <c r="ET317" i="1"/>
  <c r="EO317" i="1"/>
  <c r="DG317" i="1"/>
  <c r="EI319" i="1"/>
  <c r="EL318" i="1"/>
  <c r="EP318" i="1"/>
  <c r="CI318" i="1"/>
  <c r="CE318" i="1"/>
  <c r="CB319" i="1"/>
  <c r="FN318" i="1"/>
  <c r="CM317" i="1"/>
  <c r="CO317" i="1"/>
  <c r="CU317" i="1" s="1"/>
  <c r="CJ317" i="1"/>
  <c r="CK317" i="1"/>
  <c r="CH317" i="1"/>
  <c r="CB200" i="1"/>
  <c r="CI199" i="1"/>
  <c r="CE199" i="1"/>
  <c r="EN196" i="1"/>
  <c r="EJ196" i="1" s="1"/>
  <c r="EG196" i="1" s="1"/>
  <c r="EF196" i="1" s="1"/>
  <c r="EU196" i="1"/>
  <c r="ES196" i="1"/>
  <c r="FA196" i="1"/>
  <c r="EY196" i="1"/>
  <c r="EZ196" i="1" s="1"/>
  <c r="EW196" i="1"/>
  <c r="EX196" i="1" s="1"/>
  <c r="CG197" i="1"/>
  <c r="CC197" i="1" s="1"/>
  <c r="BZ197" i="1" s="1"/>
  <c r="BY197" i="1" s="1"/>
  <c r="CT197" i="1"/>
  <c r="CL197" i="1"/>
  <c r="CP197" i="1"/>
  <c r="CQ197" i="1" s="1"/>
  <c r="CN197" i="1"/>
  <c r="CR197" i="1"/>
  <c r="CS197" i="1" s="1"/>
  <c r="CK198" i="1"/>
  <c r="CH198" i="1"/>
  <c r="CO198" i="1"/>
  <c r="CU198" i="1" s="1"/>
  <c r="CM198" i="1"/>
  <c r="CJ198" i="1"/>
  <c r="EP198" i="1"/>
  <c r="EI199" i="1"/>
  <c r="EL198" i="1"/>
  <c r="ET197" i="1"/>
  <c r="ER197" i="1"/>
  <c r="EQ197" i="1"/>
  <c r="EV197" i="1"/>
  <c r="FB197" i="1" s="1"/>
  <c r="EO197" i="1"/>
  <c r="GD73" i="1"/>
  <c r="GE73" i="1" s="1"/>
  <c r="FX73" i="1"/>
  <c r="GF73" i="1"/>
  <c r="FZ73" i="1"/>
  <c r="GB73" i="1"/>
  <c r="GC73" i="1" s="1"/>
  <c r="CR74" i="1"/>
  <c r="CS74" i="1" s="1"/>
  <c r="CL74" i="1"/>
  <c r="CN74" i="1"/>
  <c r="CT74" i="1"/>
  <c r="CP74" i="1"/>
  <c r="CQ74" i="1" s="1"/>
  <c r="CG74" i="1"/>
  <c r="CC74" i="1" s="1"/>
  <c r="BZ74" i="1" s="1"/>
  <c r="BY74" i="1" s="1"/>
  <c r="EU76" i="1"/>
  <c r="ES76" i="1"/>
  <c r="EN76" i="1"/>
  <c r="EJ76" i="1" s="1"/>
  <c r="EG76" i="1" s="1"/>
  <c r="EF76" i="1" s="1"/>
  <c r="EW76" i="1"/>
  <c r="EX76" i="1" s="1"/>
  <c r="EY76" i="1"/>
  <c r="EZ76" i="1" s="1"/>
  <c r="FA76" i="1"/>
  <c r="DY73" i="1"/>
  <c r="DU73" i="1"/>
  <c r="DV73" i="1" s="1"/>
  <c r="DS73" i="1"/>
  <c r="DQ73" i="1"/>
  <c r="DL73" i="1"/>
  <c r="DH73" i="1" s="1"/>
  <c r="DE73" i="1" s="1"/>
  <c r="DD73" i="1" s="1"/>
  <c r="DW73" i="1"/>
  <c r="DX73" i="1" s="1"/>
  <c r="CB77" i="1"/>
  <c r="CE76" i="1"/>
  <c r="CI76" i="1"/>
  <c r="EV77" i="1"/>
  <c r="FB77" i="1" s="1"/>
  <c r="EQ77" i="1"/>
  <c r="ER77" i="1"/>
  <c r="ET77" i="1"/>
  <c r="EO77" i="1"/>
  <c r="FY74" i="1"/>
  <c r="FT74" i="1"/>
  <c r="FV74" i="1"/>
  <c r="FW74" i="1"/>
  <c r="GA74" i="1"/>
  <c r="GG74" i="1" s="1"/>
  <c r="FS74" i="1" s="1"/>
  <c r="FO74" i="1" s="1"/>
  <c r="FL74" i="1" s="1"/>
  <c r="FK74" i="1" s="1"/>
  <c r="EL78" i="1"/>
  <c r="EI79" i="1"/>
  <c r="EP78" i="1"/>
  <c r="CK75" i="1"/>
  <c r="CM75" i="1"/>
  <c r="CO75" i="1"/>
  <c r="CU75" i="1" s="1"/>
  <c r="CH75" i="1"/>
  <c r="CJ75" i="1"/>
  <c r="DG76" i="1"/>
  <c r="DJ75" i="1"/>
  <c r="DN75" i="1"/>
  <c r="DP74" i="1"/>
  <c r="DR74" i="1"/>
  <c r="DM74" i="1"/>
  <c r="DT74" i="1"/>
  <c r="DZ74" i="1" s="1"/>
  <c r="DO74" i="1"/>
  <c r="FN76" i="1"/>
  <c r="FQ75" i="1"/>
  <c r="FU75" i="1"/>
  <c r="DO195" i="1" l="1"/>
  <c r="DM195" i="1"/>
  <c r="DR195" i="1"/>
  <c r="DT195" i="1"/>
  <c r="DZ195" i="1" s="1"/>
  <c r="DP195" i="1"/>
  <c r="DG197" i="1"/>
  <c r="DN196" i="1"/>
  <c r="DJ196" i="1"/>
  <c r="GD194" i="1"/>
  <c r="GE194" i="1" s="1"/>
  <c r="FX194" i="1"/>
  <c r="GF194" i="1"/>
  <c r="FZ194" i="1"/>
  <c r="GB194" i="1"/>
  <c r="GC194" i="1" s="1"/>
  <c r="DQ315" i="1"/>
  <c r="DY315" i="1"/>
  <c r="DL315" i="1"/>
  <c r="DH315" i="1" s="1"/>
  <c r="DE315" i="1" s="1"/>
  <c r="DD315" i="1" s="1"/>
  <c r="DU315" i="1"/>
  <c r="DV315" i="1" s="1"/>
  <c r="DW315" i="1"/>
  <c r="DX315" i="1" s="1"/>
  <c r="DS315" i="1"/>
  <c r="FV317" i="1"/>
  <c r="FT317" i="1"/>
  <c r="FY317" i="1"/>
  <c r="FW317" i="1"/>
  <c r="GA317" i="1"/>
  <c r="GG317" i="1" s="1"/>
  <c r="FS317" i="1" s="1"/>
  <c r="FO317" i="1" s="1"/>
  <c r="FL317" i="1" s="1"/>
  <c r="FK317" i="1" s="1"/>
  <c r="DJ317" i="1"/>
  <c r="DN317" i="1"/>
  <c r="FQ318" i="1"/>
  <c r="FU318" i="1"/>
  <c r="FX316" i="1"/>
  <c r="FZ316" i="1"/>
  <c r="GF316" i="1"/>
  <c r="GB316" i="1"/>
  <c r="GC316" i="1" s="1"/>
  <c r="GD316" i="1"/>
  <c r="GE316" i="1" s="1"/>
  <c r="FQ196" i="1"/>
  <c r="FU196" i="1"/>
  <c r="FN197" i="1"/>
  <c r="DU194" i="1"/>
  <c r="DV194" i="1" s="1"/>
  <c r="DS194" i="1"/>
  <c r="DW194" i="1"/>
  <c r="DX194" i="1" s="1"/>
  <c r="DL194" i="1"/>
  <c r="DH194" i="1" s="1"/>
  <c r="DE194" i="1" s="1"/>
  <c r="DD194" i="1" s="1"/>
  <c r="DQ194" i="1"/>
  <c r="DY194" i="1"/>
  <c r="DM316" i="1"/>
  <c r="DR316" i="1"/>
  <c r="DO316" i="1"/>
  <c r="DP316" i="1"/>
  <c r="DT316" i="1"/>
  <c r="DZ316" i="1" s="1"/>
  <c r="FY195" i="1"/>
  <c r="FT195" i="1"/>
  <c r="FV195" i="1"/>
  <c r="FW195" i="1"/>
  <c r="GA195" i="1"/>
  <c r="GG195" i="1" s="1"/>
  <c r="FS195" i="1" s="1"/>
  <c r="FO195" i="1" s="1"/>
  <c r="FL195" i="1" s="1"/>
  <c r="FK195" i="1" s="1"/>
  <c r="EY317" i="1"/>
  <c r="EZ317" i="1" s="1"/>
  <c r="EN317" i="1"/>
  <c r="EJ317" i="1" s="1"/>
  <c r="EG317" i="1" s="1"/>
  <c r="EF317" i="1" s="1"/>
  <c r="EW317" i="1"/>
  <c r="EX317" i="1" s="1"/>
  <c r="ES317" i="1"/>
  <c r="FA317" i="1"/>
  <c r="EU317" i="1"/>
  <c r="FN319" i="1"/>
  <c r="EV318" i="1"/>
  <c r="FB318" i="1" s="1"/>
  <c r="ER318" i="1"/>
  <c r="ET318" i="1"/>
  <c r="EQ318" i="1"/>
  <c r="EO318" i="1"/>
  <c r="CH318" i="1"/>
  <c r="CM318" i="1"/>
  <c r="CJ318" i="1"/>
  <c r="CO318" i="1"/>
  <c r="CU318" i="1" s="1"/>
  <c r="CK318" i="1"/>
  <c r="EI320" i="1"/>
  <c r="EP319" i="1"/>
  <c r="EL319" i="1"/>
  <c r="CT317" i="1"/>
  <c r="CL317" i="1"/>
  <c r="CG317" i="1"/>
  <c r="CC317" i="1" s="1"/>
  <c r="BZ317" i="1" s="1"/>
  <c r="BY317" i="1" s="1"/>
  <c r="CP317" i="1"/>
  <c r="CQ317" i="1" s="1"/>
  <c r="CN317" i="1"/>
  <c r="CR317" i="1"/>
  <c r="CS317" i="1" s="1"/>
  <c r="DG318" i="1"/>
  <c r="CI319" i="1"/>
  <c r="CB320" i="1"/>
  <c r="CE319" i="1"/>
  <c r="CO199" i="1"/>
  <c r="CU199" i="1" s="1"/>
  <c r="CM199" i="1"/>
  <c r="CK199" i="1"/>
  <c r="CJ199" i="1"/>
  <c r="CH199" i="1"/>
  <c r="EP199" i="1"/>
  <c r="EI200" i="1"/>
  <c r="EL199" i="1"/>
  <c r="CP198" i="1"/>
  <c r="CQ198" i="1" s="1"/>
  <c r="CG198" i="1"/>
  <c r="CC198" i="1" s="1"/>
  <c r="BZ198" i="1" s="1"/>
  <c r="BY198" i="1" s="1"/>
  <c r="CN198" i="1"/>
  <c r="CR198" i="1"/>
  <c r="CS198" i="1" s="1"/>
  <c r="CL198" i="1"/>
  <c r="CT198" i="1"/>
  <c r="CI200" i="1"/>
  <c r="CB201" i="1"/>
  <c r="CE200" i="1"/>
  <c r="EV198" i="1"/>
  <c r="FB198" i="1" s="1"/>
  <c r="ET198" i="1"/>
  <c r="ER198" i="1"/>
  <c r="EQ198" i="1"/>
  <c r="EO198" i="1"/>
  <c r="EY197" i="1"/>
  <c r="EZ197" i="1" s="1"/>
  <c r="EN197" i="1"/>
  <c r="EJ197" i="1" s="1"/>
  <c r="EG197" i="1" s="1"/>
  <c r="EF197" i="1" s="1"/>
  <c r="FA197" i="1"/>
  <c r="EW197" i="1"/>
  <c r="EX197" i="1" s="1"/>
  <c r="EU197" i="1"/>
  <c r="ES197" i="1"/>
  <c r="DO75" i="1"/>
  <c r="DR75" i="1"/>
  <c r="DT75" i="1"/>
  <c r="DZ75" i="1" s="1"/>
  <c r="DP75" i="1"/>
  <c r="DM75" i="1"/>
  <c r="CE77" i="1"/>
  <c r="CB78" i="1"/>
  <c r="CI77" i="1"/>
  <c r="FW75" i="1"/>
  <c r="FT75" i="1"/>
  <c r="GA75" i="1"/>
  <c r="GG75" i="1" s="1"/>
  <c r="FS75" i="1" s="1"/>
  <c r="FO75" i="1" s="1"/>
  <c r="FL75" i="1" s="1"/>
  <c r="FK75" i="1" s="1"/>
  <c r="FV75" i="1"/>
  <c r="FY75" i="1"/>
  <c r="ER78" i="1"/>
  <c r="EO78" i="1"/>
  <c r="EV78" i="1"/>
  <c r="FB78" i="1" s="1"/>
  <c r="EQ78" i="1"/>
  <c r="ET78" i="1"/>
  <c r="ES77" i="1"/>
  <c r="EN77" i="1"/>
  <c r="EJ77" i="1" s="1"/>
  <c r="EG77" i="1" s="1"/>
  <c r="EF77" i="1" s="1"/>
  <c r="EU77" i="1"/>
  <c r="FA77" i="1"/>
  <c r="EW77" i="1"/>
  <c r="EX77" i="1" s="1"/>
  <c r="EY77" i="1"/>
  <c r="EZ77" i="1" s="1"/>
  <c r="EL79" i="1"/>
  <c r="EI80" i="1"/>
  <c r="EP79" i="1"/>
  <c r="FN77" i="1"/>
  <c r="FQ76" i="1"/>
  <c r="FU76" i="1"/>
  <c r="DJ76" i="1"/>
  <c r="DG77" i="1"/>
  <c r="DN76" i="1"/>
  <c r="CK76" i="1"/>
  <c r="CM76" i="1"/>
  <c r="CO76" i="1"/>
  <c r="CU76" i="1" s="1"/>
  <c r="CH76" i="1"/>
  <c r="CJ76" i="1"/>
  <c r="CR75" i="1"/>
  <c r="CS75" i="1" s="1"/>
  <c r="CL75" i="1"/>
  <c r="CN75" i="1"/>
  <c r="CT75" i="1"/>
  <c r="CP75" i="1"/>
  <c r="CQ75" i="1" s="1"/>
  <c r="CG75" i="1"/>
  <c r="CC75" i="1" s="1"/>
  <c r="BZ75" i="1" s="1"/>
  <c r="BY75" i="1" s="1"/>
  <c r="DQ74" i="1"/>
  <c r="DS74" i="1"/>
  <c r="DL74" i="1"/>
  <c r="DH74" i="1" s="1"/>
  <c r="DE74" i="1" s="1"/>
  <c r="DD74" i="1" s="1"/>
  <c r="DY74" i="1"/>
  <c r="DU74" i="1"/>
  <c r="DV74" i="1" s="1"/>
  <c r="DW74" i="1"/>
  <c r="DX74" i="1" s="1"/>
  <c r="GF74" i="1"/>
  <c r="FZ74" i="1"/>
  <c r="GB74" i="1"/>
  <c r="GC74" i="1" s="1"/>
  <c r="GD74" i="1"/>
  <c r="GE74" i="1" s="1"/>
  <c r="FX74" i="1"/>
  <c r="DJ318" i="1" l="1"/>
  <c r="DN318" i="1"/>
  <c r="DT196" i="1"/>
  <c r="DZ196" i="1" s="1"/>
  <c r="DM196" i="1"/>
  <c r="DO196" i="1"/>
  <c r="DP196" i="1"/>
  <c r="DR196" i="1"/>
  <c r="DG198" i="1"/>
  <c r="DJ197" i="1"/>
  <c r="DN197" i="1"/>
  <c r="GB317" i="1"/>
  <c r="GC317" i="1" s="1"/>
  <c r="GD317" i="1"/>
  <c r="GE317" i="1" s="1"/>
  <c r="FX317" i="1"/>
  <c r="GF317" i="1"/>
  <c r="FZ317" i="1"/>
  <c r="FQ197" i="1"/>
  <c r="FU197" i="1"/>
  <c r="FN198" i="1"/>
  <c r="FV318" i="1"/>
  <c r="FY318" i="1"/>
  <c r="FT318" i="1"/>
  <c r="FW318" i="1"/>
  <c r="GA318" i="1"/>
  <c r="GG318" i="1" s="1"/>
  <c r="FS318" i="1" s="1"/>
  <c r="FO318" i="1" s="1"/>
  <c r="FL318" i="1" s="1"/>
  <c r="FK318" i="1" s="1"/>
  <c r="DL316" i="1"/>
  <c r="DH316" i="1" s="1"/>
  <c r="DE316" i="1" s="1"/>
  <c r="DD316" i="1" s="1"/>
  <c r="DQ316" i="1"/>
  <c r="DY316" i="1"/>
  <c r="DW316" i="1"/>
  <c r="DX316" i="1" s="1"/>
  <c r="DU316" i="1"/>
  <c r="DV316" i="1" s="1"/>
  <c r="DS316" i="1"/>
  <c r="FW196" i="1"/>
  <c r="FT196" i="1"/>
  <c r="FV196" i="1"/>
  <c r="FY196" i="1"/>
  <c r="GA196" i="1"/>
  <c r="GG196" i="1" s="1"/>
  <c r="FS196" i="1" s="1"/>
  <c r="FO196" i="1" s="1"/>
  <c r="FL196" i="1" s="1"/>
  <c r="FK196" i="1" s="1"/>
  <c r="FQ319" i="1"/>
  <c r="FU319" i="1"/>
  <c r="DM317" i="1"/>
  <c r="DO317" i="1"/>
  <c r="DP317" i="1"/>
  <c r="DR317" i="1"/>
  <c r="DT317" i="1"/>
  <c r="DZ317" i="1" s="1"/>
  <c r="DY195" i="1"/>
  <c r="DU195" i="1"/>
  <c r="DV195" i="1" s="1"/>
  <c r="DS195" i="1"/>
  <c r="DW195" i="1"/>
  <c r="DX195" i="1" s="1"/>
  <c r="DL195" i="1"/>
  <c r="DH195" i="1" s="1"/>
  <c r="DE195" i="1" s="1"/>
  <c r="DD195" i="1" s="1"/>
  <c r="DQ195" i="1"/>
  <c r="FZ195" i="1"/>
  <c r="GD195" i="1"/>
  <c r="GE195" i="1" s="1"/>
  <c r="GF195" i="1"/>
  <c r="FX195" i="1"/>
  <c r="GB195" i="1"/>
  <c r="GC195" i="1" s="1"/>
  <c r="CI320" i="1"/>
  <c r="CB321" i="1"/>
  <c r="CE320" i="1"/>
  <c r="CM319" i="1"/>
  <c r="CJ319" i="1"/>
  <c r="CH319" i="1"/>
  <c r="CO319" i="1"/>
  <c r="CU319" i="1" s="1"/>
  <c r="CK319" i="1"/>
  <c r="CP318" i="1"/>
  <c r="CQ318" i="1" s="1"/>
  <c r="CR318" i="1"/>
  <c r="CS318" i="1" s="1"/>
  <c r="CL318" i="1"/>
  <c r="CT318" i="1"/>
  <c r="CN318" i="1"/>
  <c r="CG318" i="1"/>
  <c r="CC318" i="1" s="1"/>
  <c r="BZ318" i="1" s="1"/>
  <c r="BY318" i="1" s="1"/>
  <c r="FN320" i="1"/>
  <c r="ER319" i="1"/>
  <c r="EQ319" i="1"/>
  <c r="EV319" i="1"/>
  <c r="FB319" i="1" s="1"/>
  <c r="ET319" i="1"/>
  <c r="EO319" i="1"/>
  <c r="DG319" i="1"/>
  <c r="EI321" i="1"/>
  <c r="EL320" i="1"/>
  <c r="EP320" i="1"/>
  <c r="EN318" i="1"/>
  <c r="EJ318" i="1" s="1"/>
  <c r="EG318" i="1" s="1"/>
  <c r="EF318" i="1" s="1"/>
  <c r="EU318" i="1"/>
  <c r="EY318" i="1"/>
  <c r="EZ318" i="1" s="1"/>
  <c r="EW318" i="1"/>
  <c r="EX318" i="1" s="1"/>
  <c r="ES318" i="1"/>
  <c r="FA318" i="1"/>
  <c r="CK200" i="1"/>
  <c r="CH200" i="1"/>
  <c r="CO200" i="1"/>
  <c r="CU200" i="1" s="1"/>
  <c r="CM200" i="1"/>
  <c r="CJ200" i="1"/>
  <c r="EP200" i="1"/>
  <c r="EI201" i="1"/>
  <c r="EL200" i="1"/>
  <c r="EN198" i="1"/>
  <c r="EJ198" i="1" s="1"/>
  <c r="EG198" i="1" s="1"/>
  <c r="EF198" i="1" s="1"/>
  <c r="EU198" i="1"/>
  <c r="FA198" i="1"/>
  <c r="ES198" i="1"/>
  <c r="EY198" i="1"/>
  <c r="EZ198" i="1" s="1"/>
  <c r="EW198" i="1"/>
  <c r="EX198" i="1" s="1"/>
  <c r="ET199" i="1"/>
  <c r="ER199" i="1"/>
  <c r="EQ199" i="1"/>
  <c r="EV199" i="1"/>
  <c r="FB199" i="1" s="1"/>
  <c r="EO199" i="1"/>
  <c r="CB202" i="1"/>
  <c r="CI201" i="1"/>
  <c r="CE201" i="1"/>
  <c r="CG199" i="1"/>
  <c r="CC199" i="1" s="1"/>
  <c r="BZ199" i="1" s="1"/>
  <c r="BY199" i="1" s="1"/>
  <c r="CT199" i="1"/>
  <c r="CL199" i="1"/>
  <c r="CR199" i="1"/>
  <c r="CS199" i="1" s="1"/>
  <c r="CP199" i="1"/>
  <c r="CQ199" i="1" s="1"/>
  <c r="CN199" i="1"/>
  <c r="DJ77" i="1"/>
  <c r="DG78" i="1"/>
  <c r="DN77" i="1"/>
  <c r="CM77" i="1"/>
  <c r="CJ77" i="1"/>
  <c r="CK77" i="1"/>
  <c r="CO77" i="1"/>
  <c r="CU77" i="1" s="1"/>
  <c r="CH77" i="1"/>
  <c r="EN78" i="1"/>
  <c r="EJ78" i="1" s="1"/>
  <c r="EG78" i="1" s="1"/>
  <c r="EF78" i="1" s="1"/>
  <c r="EW78" i="1"/>
  <c r="EX78" i="1" s="1"/>
  <c r="EU78" i="1"/>
  <c r="ES78" i="1"/>
  <c r="EY78" i="1"/>
  <c r="EZ78" i="1" s="1"/>
  <c r="FA78" i="1"/>
  <c r="CB79" i="1"/>
  <c r="CE78" i="1"/>
  <c r="CI78" i="1"/>
  <c r="FW76" i="1"/>
  <c r="FT76" i="1"/>
  <c r="FV76" i="1"/>
  <c r="FY76" i="1"/>
  <c r="GA76" i="1"/>
  <c r="GG76" i="1" s="1"/>
  <c r="FS76" i="1" s="1"/>
  <c r="FO76" i="1" s="1"/>
  <c r="FL76" i="1" s="1"/>
  <c r="FK76" i="1" s="1"/>
  <c r="CT76" i="1"/>
  <c r="CP76" i="1"/>
  <c r="CQ76" i="1" s="1"/>
  <c r="CL76" i="1"/>
  <c r="CN76" i="1"/>
  <c r="CR76" i="1"/>
  <c r="CS76" i="1" s="1"/>
  <c r="CG76" i="1"/>
  <c r="CC76" i="1" s="1"/>
  <c r="BZ76" i="1" s="1"/>
  <c r="BY76" i="1" s="1"/>
  <c r="DY75" i="1"/>
  <c r="DW75" i="1"/>
  <c r="DX75" i="1" s="1"/>
  <c r="DU75" i="1"/>
  <c r="DV75" i="1" s="1"/>
  <c r="DL75" i="1"/>
  <c r="DH75" i="1" s="1"/>
  <c r="DE75" i="1" s="1"/>
  <c r="DD75" i="1" s="1"/>
  <c r="DS75" i="1"/>
  <c r="DQ75" i="1"/>
  <c r="FN78" i="1"/>
  <c r="FQ77" i="1"/>
  <c r="FU77" i="1"/>
  <c r="ER79" i="1"/>
  <c r="ET79" i="1"/>
  <c r="EO79" i="1"/>
  <c r="EV79" i="1"/>
  <c r="FB79" i="1" s="1"/>
  <c r="EQ79" i="1"/>
  <c r="EI81" i="1"/>
  <c r="EL80" i="1"/>
  <c r="EP80" i="1"/>
  <c r="GD75" i="1"/>
  <c r="GE75" i="1" s="1"/>
  <c r="GB75" i="1"/>
  <c r="GC75" i="1" s="1"/>
  <c r="FZ75" i="1"/>
  <c r="FX75" i="1"/>
  <c r="GF75" i="1"/>
  <c r="DO76" i="1"/>
  <c r="DR76" i="1"/>
  <c r="DM76" i="1"/>
  <c r="DP76" i="1"/>
  <c r="DT76" i="1"/>
  <c r="DZ76" i="1" s="1"/>
  <c r="DG199" i="1" l="1"/>
  <c r="DN198" i="1"/>
  <c r="DJ198" i="1"/>
  <c r="GD196" i="1"/>
  <c r="GE196" i="1" s="1"/>
  <c r="FX196" i="1"/>
  <c r="GF196" i="1"/>
  <c r="FZ196" i="1"/>
  <c r="GB196" i="1"/>
  <c r="GC196" i="1" s="1"/>
  <c r="DW317" i="1"/>
  <c r="DX317" i="1" s="1"/>
  <c r="DL317" i="1"/>
  <c r="DH317" i="1" s="1"/>
  <c r="DE317" i="1" s="1"/>
  <c r="DD317" i="1" s="1"/>
  <c r="DU317" i="1"/>
  <c r="DV317" i="1" s="1"/>
  <c r="DY317" i="1"/>
  <c r="DQ317" i="1"/>
  <c r="DS317" i="1"/>
  <c r="GD318" i="1"/>
  <c r="GE318" i="1" s="1"/>
  <c r="GB318" i="1"/>
  <c r="GC318" i="1" s="1"/>
  <c r="GF318" i="1"/>
  <c r="FX318" i="1"/>
  <c r="FZ318" i="1"/>
  <c r="FT319" i="1"/>
  <c r="FW319" i="1"/>
  <c r="FY319" i="1"/>
  <c r="FV319" i="1"/>
  <c r="GA319" i="1"/>
  <c r="GG319" i="1" s="1"/>
  <c r="FS319" i="1" s="1"/>
  <c r="FO319" i="1" s="1"/>
  <c r="FL319" i="1" s="1"/>
  <c r="FK319" i="1" s="1"/>
  <c r="DW196" i="1"/>
  <c r="DX196" i="1" s="1"/>
  <c r="DU196" i="1"/>
  <c r="DV196" i="1" s="1"/>
  <c r="DQ196" i="1"/>
  <c r="DY196" i="1"/>
  <c r="DS196" i="1"/>
  <c r="DL196" i="1"/>
  <c r="DH196" i="1" s="1"/>
  <c r="DE196" i="1" s="1"/>
  <c r="DD196" i="1" s="1"/>
  <c r="FQ320" i="1"/>
  <c r="FU320" i="1"/>
  <c r="FQ198" i="1"/>
  <c r="FU198" i="1"/>
  <c r="FN199" i="1"/>
  <c r="DO197" i="1"/>
  <c r="DP197" i="1"/>
  <c r="DR197" i="1"/>
  <c r="DT197" i="1"/>
  <c r="DZ197" i="1" s="1"/>
  <c r="DM197" i="1"/>
  <c r="DM318" i="1"/>
  <c r="DO318" i="1"/>
  <c r="DP318" i="1"/>
  <c r="DR318" i="1"/>
  <c r="DT318" i="1"/>
  <c r="DZ318" i="1" s="1"/>
  <c r="DJ319" i="1"/>
  <c r="DN319" i="1"/>
  <c r="FW197" i="1"/>
  <c r="FV197" i="1"/>
  <c r="FY197" i="1"/>
  <c r="FT197" i="1"/>
  <c r="GA197" i="1"/>
  <c r="GG197" i="1" s="1"/>
  <c r="FS197" i="1" s="1"/>
  <c r="FO197" i="1" s="1"/>
  <c r="FL197" i="1" s="1"/>
  <c r="FK197" i="1" s="1"/>
  <c r="DG320" i="1"/>
  <c r="EY319" i="1"/>
  <c r="EZ319" i="1" s="1"/>
  <c r="EN319" i="1"/>
  <c r="EJ319" i="1" s="1"/>
  <c r="EG319" i="1" s="1"/>
  <c r="EF319" i="1" s="1"/>
  <c r="FA319" i="1"/>
  <c r="EW319" i="1"/>
  <c r="EX319" i="1" s="1"/>
  <c r="ES319" i="1"/>
  <c r="EU319" i="1"/>
  <c r="FN321" i="1"/>
  <c r="EI322" i="1"/>
  <c r="EP321" i="1"/>
  <c r="EL321" i="1"/>
  <c r="CI321" i="1"/>
  <c r="CE321" i="1"/>
  <c r="CB322" i="1"/>
  <c r="EV320" i="1"/>
  <c r="FB320" i="1" s="1"/>
  <c r="ER320" i="1"/>
  <c r="EO320" i="1"/>
  <c r="EQ320" i="1"/>
  <c r="ET320" i="1"/>
  <c r="CT319" i="1"/>
  <c r="CL319" i="1"/>
  <c r="CN319" i="1"/>
  <c r="CG319" i="1"/>
  <c r="CC319" i="1" s="1"/>
  <c r="BZ319" i="1" s="1"/>
  <c r="BY319" i="1" s="1"/>
  <c r="CP319" i="1"/>
  <c r="CQ319" i="1" s="1"/>
  <c r="CR319" i="1"/>
  <c r="CS319" i="1" s="1"/>
  <c r="CH320" i="1"/>
  <c r="CM320" i="1"/>
  <c r="CO320" i="1"/>
  <c r="CU320" i="1" s="1"/>
  <c r="CK320" i="1"/>
  <c r="CJ320" i="1"/>
  <c r="EP201" i="1"/>
  <c r="EI202" i="1"/>
  <c r="EL201" i="1"/>
  <c r="EV200" i="1"/>
  <c r="FB200" i="1" s="1"/>
  <c r="ET200" i="1"/>
  <c r="ER200" i="1"/>
  <c r="EQ200" i="1"/>
  <c r="EO200" i="1"/>
  <c r="EY199" i="1"/>
  <c r="EZ199" i="1" s="1"/>
  <c r="EN199" i="1"/>
  <c r="EJ199" i="1" s="1"/>
  <c r="EG199" i="1" s="1"/>
  <c r="EF199" i="1" s="1"/>
  <c r="FA199" i="1"/>
  <c r="EW199" i="1"/>
  <c r="EX199" i="1" s="1"/>
  <c r="EU199" i="1"/>
  <c r="ES199" i="1"/>
  <c r="CO201" i="1"/>
  <c r="CU201" i="1" s="1"/>
  <c r="CM201" i="1"/>
  <c r="CK201" i="1"/>
  <c r="CJ201" i="1"/>
  <c r="CH201" i="1"/>
  <c r="CP200" i="1"/>
  <c r="CQ200" i="1" s="1"/>
  <c r="CG200" i="1"/>
  <c r="CC200" i="1" s="1"/>
  <c r="BZ200" i="1" s="1"/>
  <c r="BY200" i="1" s="1"/>
  <c r="CN200" i="1"/>
  <c r="CL200" i="1"/>
  <c r="CR200" i="1"/>
  <c r="CS200" i="1" s="1"/>
  <c r="CT200" i="1"/>
  <c r="CI202" i="1"/>
  <c r="CB203" i="1"/>
  <c r="CE202" i="1"/>
  <c r="CG77" i="1"/>
  <c r="CC77" i="1" s="1"/>
  <c r="BZ77" i="1" s="1"/>
  <c r="BY77" i="1" s="1"/>
  <c r="CL77" i="1"/>
  <c r="CR77" i="1"/>
  <c r="CS77" i="1" s="1"/>
  <c r="CN77" i="1"/>
  <c r="CT77" i="1"/>
  <c r="CP77" i="1"/>
  <c r="CQ77" i="1" s="1"/>
  <c r="CB80" i="1"/>
  <c r="CE79" i="1"/>
  <c r="CI79" i="1"/>
  <c r="GA77" i="1"/>
  <c r="GG77" i="1" s="1"/>
  <c r="FS77" i="1" s="1"/>
  <c r="FO77" i="1" s="1"/>
  <c r="FL77" i="1" s="1"/>
  <c r="FK77" i="1" s="1"/>
  <c r="FT77" i="1"/>
  <c r="FV77" i="1"/>
  <c r="FW77" i="1"/>
  <c r="FY77" i="1"/>
  <c r="EY79" i="1"/>
  <c r="EZ79" i="1" s="1"/>
  <c r="ES79" i="1"/>
  <c r="EW79" i="1"/>
  <c r="EX79" i="1" s="1"/>
  <c r="EU79" i="1"/>
  <c r="FA79" i="1"/>
  <c r="EN79" i="1"/>
  <c r="EJ79" i="1" s="1"/>
  <c r="EG79" i="1" s="1"/>
  <c r="EF79" i="1" s="1"/>
  <c r="DW76" i="1"/>
  <c r="DX76" i="1" s="1"/>
  <c r="DS76" i="1"/>
  <c r="DQ76" i="1"/>
  <c r="DL76" i="1"/>
  <c r="DH76" i="1" s="1"/>
  <c r="DE76" i="1" s="1"/>
  <c r="DD76" i="1" s="1"/>
  <c r="DY76" i="1"/>
  <c r="DU76" i="1"/>
  <c r="DV76" i="1" s="1"/>
  <c r="EI82" i="1"/>
  <c r="EL81" i="1"/>
  <c r="EP81" i="1"/>
  <c r="FN79" i="1"/>
  <c r="FQ78" i="1"/>
  <c r="FU78" i="1"/>
  <c r="GB76" i="1"/>
  <c r="GC76" i="1" s="1"/>
  <c r="FZ76" i="1"/>
  <c r="FX76" i="1"/>
  <c r="GD76" i="1"/>
  <c r="GE76" i="1" s="1"/>
  <c r="GF76" i="1"/>
  <c r="DP77" i="1"/>
  <c r="DT77" i="1"/>
  <c r="DZ77" i="1" s="1"/>
  <c r="DM77" i="1"/>
  <c r="DO77" i="1"/>
  <c r="DR77" i="1"/>
  <c r="EV80" i="1"/>
  <c r="FB80" i="1" s="1"/>
  <c r="ER80" i="1"/>
  <c r="ET80" i="1"/>
  <c r="EO80" i="1"/>
  <c r="EQ80" i="1"/>
  <c r="DJ78" i="1"/>
  <c r="DG79" i="1"/>
  <c r="DN78" i="1"/>
  <c r="CO78" i="1"/>
  <c r="CU78" i="1" s="1"/>
  <c r="CH78" i="1"/>
  <c r="CM78" i="1"/>
  <c r="CK78" i="1"/>
  <c r="CJ78" i="1"/>
  <c r="DY197" i="1" l="1"/>
  <c r="DL197" i="1"/>
  <c r="DH197" i="1" s="1"/>
  <c r="DE197" i="1" s="1"/>
  <c r="DD197" i="1" s="1"/>
  <c r="DU197" i="1"/>
  <c r="DV197" i="1" s="1"/>
  <c r="DW197" i="1"/>
  <c r="DX197" i="1" s="1"/>
  <c r="DS197" i="1"/>
  <c r="DQ197" i="1"/>
  <c r="GA320" i="1"/>
  <c r="GG320" i="1" s="1"/>
  <c r="FS320" i="1" s="1"/>
  <c r="FO320" i="1" s="1"/>
  <c r="FL320" i="1" s="1"/>
  <c r="FK320" i="1" s="1"/>
  <c r="FY320" i="1"/>
  <c r="FV320" i="1"/>
  <c r="FW320" i="1"/>
  <c r="FT320" i="1"/>
  <c r="DT319" i="1"/>
  <c r="DZ319" i="1" s="1"/>
  <c r="DO319" i="1"/>
  <c r="DR319" i="1"/>
  <c r="DP319" i="1"/>
  <c r="DM319" i="1"/>
  <c r="FX319" i="1"/>
  <c r="GF319" i="1"/>
  <c r="GB319" i="1"/>
  <c r="GC319" i="1" s="1"/>
  <c r="GD319" i="1"/>
  <c r="GE319" i="1" s="1"/>
  <c r="FZ319" i="1"/>
  <c r="FQ321" i="1"/>
  <c r="FU321" i="1"/>
  <c r="DJ320" i="1"/>
  <c r="DN320" i="1"/>
  <c r="GD197" i="1"/>
  <c r="GE197" i="1" s="1"/>
  <c r="GB197" i="1"/>
  <c r="GC197" i="1" s="1"/>
  <c r="FX197" i="1"/>
  <c r="GF197" i="1"/>
  <c r="FZ197" i="1"/>
  <c r="FQ199" i="1"/>
  <c r="FU199" i="1"/>
  <c r="FN200" i="1"/>
  <c r="FY198" i="1"/>
  <c r="FT198" i="1"/>
  <c r="FW198" i="1"/>
  <c r="FV198" i="1"/>
  <c r="GA198" i="1"/>
  <c r="GG198" i="1" s="1"/>
  <c r="FS198" i="1" s="1"/>
  <c r="FO198" i="1" s="1"/>
  <c r="FL198" i="1" s="1"/>
  <c r="FK198" i="1" s="1"/>
  <c r="DR198" i="1"/>
  <c r="DT198" i="1"/>
  <c r="DZ198" i="1" s="1"/>
  <c r="DM198" i="1"/>
  <c r="DO198" i="1"/>
  <c r="DP198" i="1"/>
  <c r="DW318" i="1"/>
  <c r="DX318" i="1" s="1"/>
  <c r="DQ318" i="1"/>
  <c r="DY318" i="1"/>
  <c r="DL318" i="1"/>
  <c r="DH318" i="1" s="1"/>
  <c r="DE318" i="1" s="1"/>
  <c r="DD318" i="1" s="1"/>
  <c r="DU318" i="1"/>
  <c r="DV318" i="1" s="1"/>
  <c r="DS318" i="1"/>
  <c r="DG200" i="1"/>
  <c r="DN199" i="1"/>
  <c r="DJ199" i="1"/>
  <c r="CI322" i="1"/>
  <c r="CE322" i="1"/>
  <c r="CB323" i="1"/>
  <c r="FN322" i="1"/>
  <c r="ER321" i="1"/>
  <c r="EQ321" i="1"/>
  <c r="EV321" i="1"/>
  <c r="FB321" i="1" s="1"/>
  <c r="ET321" i="1"/>
  <c r="EO321" i="1"/>
  <c r="CM321" i="1"/>
  <c r="CO321" i="1"/>
  <c r="CU321" i="1" s="1"/>
  <c r="CJ321" i="1"/>
  <c r="CK321" i="1"/>
  <c r="CH321" i="1"/>
  <c r="EI323" i="1"/>
  <c r="EL322" i="1"/>
  <c r="EP322" i="1"/>
  <c r="EN320" i="1"/>
  <c r="EJ320" i="1" s="1"/>
  <c r="EG320" i="1" s="1"/>
  <c r="EF320" i="1" s="1"/>
  <c r="EU320" i="1"/>
  <c r="ES320" i="1"/>
  <c r="FA320" i="1"/>
  <c r="EY320" i="1"/>
  <c r="EZ320" i="1" s="1"/>
  <c r="EW320" i="1"/>
  <c r="EX320" i="1" s="1"/>
  <c r="CP320" i="1"/>
  <c r="CQ320" i="1" s="1"/>
  <c r="CL320" i="1"/>
  <c r="CT320" i="1"/>
  <c r="CR320" i="1"/>
  <c r="CS320" i="1" s="1"/>
  <c r="CG320" i="1"/>
  <c r="CC320" i="1" s="1"/>
  <c r="BZ320" i="1" s="1"/>
  <c r="BY320" i="1" s="1"/>
  <c r="CN320" i="1"/>
  <c r="DG321" i="1"/>
  <c r="CB204" i="1"/>
  <c r="CI203" i="1"/>
  <c r="CE203" i="1"/>
  <c r="EN200" i="1"/>
  <c r="EJ200" i="1" s="1"/>
  <c r="EG200" i="1" s="1"/>
  <c r="EF200" i="1" s="1"/>
  <c r="EU200" i="1"/>
  <c r="ES200" i="1"/>
  <c r="EY200" i="1"/>
  <c r="EZ200" i="1" s="1"/>
  <c r="EW200" i="1"/>
  <c r="EX200" i="1" s="1"/>
  <c r="FA200" i="1"/>
  <c r="CK202" i="1"/>
  <c r="CH202" i="1"/>
  <c r="CO202" i="1"/>
  <c r="CU202" i="1" s="1"/>
  <c r="CM202" i="1"/>
  <c r="CJ202" i="1"/>
  <c r="CG201" i="1"/>
  <c r="CC201" i="1" s="1"/>
  <c r="BZ201" i="1" s="1"/>
  <c r="BY201" i="1" s="1"/>
  <c r="CT201" i="1"/>
  <c r="CL201" i="1"/>
  <c r="CR201" i="1"/>
  <c r="CS201" i="1" s="1"/>
  <c r="CP201" i="1"/>
  <c r="CQ201" i="1" s="1"/>
  <c r="CN201" i="1"/>
  <c r="EP202" i="1"/>
  <c r="EI203" i="1"/>
  <c r="EL202" i="1"/>
  <c r="ET201" i="1"/>
  <c r="ER201" i="1"/>
  <c r="EQ201" i="1"/>
  <c r="EV201" i="1"/>
  <c r="FB201" i="1" s="1"/>
  <c r="EO201" i="1"/>
  <c r="FT78" i="1"/>
  <c r="FV78" i="1"/>
  <c r="FY78" i="1"/>
  <c r="FW78" i="1"/>
  <c r="GA78" i="1"/>
  <c r="GG78" i="1" s="1"/>
  <c r="FS78" i="1" s="1"/>
  <c r="FO78" i="1" s="1"/>
  <c r="FL78" i="1" s="1"/>
  <c r="FK78" i="1" s="1"/>
  <c r="CE80" i="1"/>
  <c r="CB81" i="1"/>
  <c r="CI80" i="1"/>
  <c r="DL77" i="1"/>
  <c r="DH77" i="1" s="1"/>
  <c r="DE77" i="1" s="1"/>
  <c r="DD77" i="1" s="1"/>
  <c r="DQ77" i="1"/>
  <c r="DU77" i="1"/>
  <c r="DV77" i="1" s="1"/>
  <c r="DW77" i="1"/>
  <c r="DX77" i="1" s="1"/>
  <c r="DY77" i="1"/>
  <c r="DS77" i="1"/>
  <c r="ES80" i="1"/>
  <c r="EU80" i="1"/>
  <c r="FA80" i="1"/>
  <c r="EN80" i="1"/>
  <c r="EJ80" i="1" s="1"/>
  <c r="EG80" i="1" s="1"/>
  <c r="EF80" i="1" s="1"/>
  <c r="EW80" i="1"/>
  <c r="EX80" i="1" s="1"/>
  <c r="EY80" i="1"/>
  <c r="EZ80" i="1" s="1"/>
  <c r="FN80" i="1"/>
  <c r="FQ79" i="1"/>
  <c r="FU79" i="1"/>
  <c r="EQ81" i="1"/>
  <c r="EO81" i="1"/>
  <c r="EV81" i="1"/>
  <c r="FB81" i="1" s="1"/>
  <c r="ER81" i="1"/>
  <c r="ET81" i="1"/>
  <c r="CR78" i="1"/>
  <c r="CS78" i="1" s="1"/>
  <c r="CT78" i="1"/>
  <c r="CL78" i="1"/>
  <c r="CP78" i="1"/>
  <c r="CQ78" i="1" s="1"/>
  <c r="CG78" i="1"/>
  <c r="CC78" i="1" s="1"/>
  <c r="BZ78" i="1" s="1"/>
  <c r="BY78" i="1" s="1"/>
  <c r="CN78" i="1"/>
  <c r="EL82" i="1"/>
  <c r="EI83" i="1"/>
  <c r="EP82" i="1"/>
  <c r="GF77" i="1"/>
  <c r="FZ77" i="1"/>
  <c r="GD77" i="1"/>
  <c r="GE77" i="1" s="1"/>
  <c r="FX77" i="1"/>
  <c r="GB77" i="1"/>
  <c r="GC77" i="1" s="1"/>
  <c r="DR78" i="1"/>
  <c r="DM78" i="1"/>
  <c r="DO78" i="1"/>
  <c r="DP78" i="1"/>
  <c r="DT78" i="1"/>
  <c r="DZ78" i="1" s="1"/>
  <c r="DG80" i="1"/>
  <c r="DJ79" i="1"/>
  <c r="DN79" i="1"/>
  <c r="CJ79" i="1"/>
  <c r="CK79" i="1"/>
  <c r="CM79" i="1"/>
  <c r="CO79" i="1"/>
  <c r="CU79" i="1" s="1"/>
  <c r="CH79" i="1"/>
  <c r="FV199" i="1" l="1"/>
  <c r="FW199" i="1"/>
  <c r="FY199" i="1"/>
  <c r="FT199" i="1"/>
  <c r="GA199" i="1"/>
  <c r="GG199" i="1" s="1"/>
  <c r="FS199" i="1" s="1"/>
  <c r="FO199" i="1" s="1"/>
  <c r="FL199" i="1" s="1"/>
  <c r="FK199" i="1" s="1"/>
  <c r="DL319" i="1"/>
  <c r="DH319" i="1" s="1"/>
  <c r="DE319" i="1" s="1"/>
  <c r="DD319" i="1" s="1"/>
  <c r="DU319" i="1"/>
  <c r="DV319" i="1" s="1"/>
  <c r="DQ319" i="1"/>
  <c r="DS319" i="1"/>
  <c r="DW319" i="1"/>
  <c r="DX319" i="1" s="1"/>
  <c r="DY319" i="1"/>
  <c r="FQ322" i="1"/>
  <c r="FU322" i="1"/>
  <c r="FT321" i="1"/>
  <c r="FV321" i="1"/>
  <c r="FW321" i="1"/>
  <c r="FY321" i="1"/>
  <c r="GA321" i="1"/>
  <c r="GG321" i="1" s="1"/>
  <c r="FS321" i="1" s="1"/>
  <c r="FO321" i="1" s="1"/>
  <c r="FL321" i="1" s="1"/>
  <c r="FK321" i="1" s="1"/>
  <c r="DM199" i="1"/>
  <c r="DO199" i="1"/>
  <c r="DP199" i="1"/>
  <c r="DR199" i="1"/>
  <c r="DT199" i="1"/>
  <c r="DZ199" i="1" s="1"/>
  <c r="GB198" i="1"/>
  <c r="GC198" i="1" s="1"/>
  <c r="GD198" i="1"/>
  <c r="GE198" i="1" s="1"/>
  <c r="FX198" i="1"/>
  <c r="GF198" i="1"/>
  <c r="FZ198" i="1"/>
  <c r="GD320" i="1"/>
  <c r="GE320" i="1" s="1"/>
  <c r="FX320" i="1"/>
  <c r="GB320" i="1"/>
  <c r="GC320" i="1" s="1"/>
  <c r="GF320" i="1"/>
  <c r="FZ320" i="1"/>
  <c r="DJ321" i="1"/>
  <c r="DN321" i="1"/>
  <c r="DG201" i="1"/>
  <c r="DN200" i="1"/>
  <c r="DJ200" i="1"/>
  <c r="DW198" i="1"/>
  <c r="DX198" i="1" s="1"/>
  <c r="DQ198" i="1"/>
  <c r="DY198" i="1"/>
  <c r="DS198" i="1"/>
  <c r="DL198" i="1"/>
  <c r="DH198" i="1" s="1"/>
  <c r="DE198" i="1" s="1"/>
  <c r="DD198" i="1" s="1"/>
  <c r="DU198" i="1"/>
  <c r="DV198" i="1" s="1"/>
  <c r="FQ200" i="1"/>
  <c r="FU200" i="1"/>
  <c r="FN201" i="1"/>
  <c r="DR320" i="1"/>
  <c r="DP320" i="1"/>
  <c r="DM320" i="1"/>
  <c r="DO320" i="1"/>
  <c r="DT320" i="1"/>
  <c r="DZ320" i="1" s="1"/>
  <c r="DG322" i="1"/>
  <c r="FN323" i="1"/>
  <c r="EV322" i="1"/>
  <c r="FB322" i="1" s="1"/>
  <c r="ER322" i="1"/>
  <c r="ET322" i="1"/>
  <c r="EQ322" i="1"/>
  <c r="EO322" i="1"/>
  <c r="EY321" i="1"/>
  <c r="EZ321" i="1" s="1"/>
  <c r="EN321" i="1"/>
  <c r="EJ321" i="1" s="1"/>
  <c r="EG321" i="1" s="1"/>
  <c r="EF321" i="1" s="1"/>
  <c r="EW321" i="1"/>
  <c r="EX321" i="1" s="1"/>
  <c r="ES321" i="1"/>
  <c r="FA321" i="1"/>
  <c r="EU321" i="1"/>
  <c r="CI323" i="1"/>
  <c r="CB324" i="1"/>
  <c r="CE323" i="1"/>
  <c r="CT321" i="1"/>
  <c r="CL321" i="1"/>
  <c r="CG321" i="1"/>
  <c r="CC321" i="1" s="1"/>
  <c r="BZ321" i="1" s="1"/>
  <c r="BY321" i="1" s="1"/>
  <c r="CP321" i="1"/>
  <c r="CQ321" i="1" s="1"/>
  <c r="CN321" i="1"/>
  <c r="CR321" i="1"/>
  <c r="CS321" i="1" s="1"/>
  <c r="EI324" i="1"/>
  <c r="EP323" i="1"/>
  <c r="EL323" i="1"/>
  <c r="CH322" i="1"/>
  <c r="CM322" i="1"/>
  <c r="CJ322" i="1"/>
  <c r="CO322" i="1"/>
  <c r="CU322" i="1" s="1"/>
  <c r="CK322" i="1"/>
  <c r="CI204" i="1"/>
  <c r="CB205" i="1"/>
  <c r="CE204" i="1"/>
  <c r="EY201" i="1"/>
  <c r="EZ201" i="1" s="1"/>
  <c r="EN201" i="1"/>
  <c r="EJ201" i="1" s="1"/>
  <c r="EG201" i="1" s="1"/>
  <c r="EF201" i="1" s="1"/>
  <c r="FA201" i="1"/>
  <c r="EU201" i="1"/>
  <c r="EW201" i="1"/>
  <c r="EX201" i="1" s="1"/>
  <c r="ES201" i="1"/>
  <c r="EV202" i="1"/>
  <c r="FB202" i="1" s="1"/>
  <c r="ET202" i="1"/>
  <c r="ER202" i="1"/>
  <c r="EQ202" i="1"/>
  <c r="EO202" i="1"/>
  <c r="CO203" i="1"/>
  <c r="CU203" i="1" s="1"/>
  <c r="CM203" i="1"/>
  <c r="CK203" i="1"/>
  <c r="CJ203" i="1"/>
  <c r="CH203" i="1"/>
  <c r="EP203" i="1"/>
  <c r="EI204" i="1"/>
  <c r="EL203" i="1"/>
  <c r="CP202" i="1"/>
  <c r="CQ202" i="1" s="1"/>
  <c r="CG202" i="1"/>
  <c r="CC202" i="1" s="1"/>
  <c r="BZ202" i="1" s="1"/>
  <c r="BY202" i="1" s="1"/>
  <c r="CN202" i="1"/>
  <c r="CT202" i="1"/>
  <c r="CR202" i="1"/>
  <c r="CS202" i="1" s="1"/>
  <c r="CL202" i="1"/>
  <c r="CK80" i="1"/>
  <c r="CM80" i="1"/>
  <c r="CO80" i="1"/>
  <c r="CU80" i="1" s="1"/>
  <c r="CH80" i="1"/>
  <c r="CJ80" i="1"/>
  <c r="FW79" i="1"/>
  <c r="FT79" i="1"/>
  <c r="FV79" i="1"/>
  <c r="FY79" i="1"/>
  <c r="GA79" i="1"/>
  <c r="GG79" i="1" s="1"/>
  <c r="FS79" i="1" s="1"/>
  <c r="FO79" i="1" s="1"/>
  <c r="FL79" i="1" s="1"/>
  <c r="FK79" i="1" s="1"/>
  <c r="CB82" i="1"/>
  <c r="CE81" i="1"/>
  <c r="CI81" i="1"/>
  <c r="EV82" i="1"/>
  <c r="FB82" i="1" s="1"/>
  <c r="EQ82" i="1"/>
  <c r="ET82" i="1"/>
  <c r="EO82" i="1"/>
  <c r="ER82" i="1"/>
  <c r="CP79" i="1"/>
  <c r="CQ79" i="1" s="1"/>
  <c r="CG79" i="1"/>
  <c r="CC79" i="1" s="1"/>
  <c r="BZ79" i="1" s="1"/>
  <c r="BY79" i="1" s="1"/>
  <c r="CR79" i="1"/>
  <c r="CS79" i="1" s="1"/>
  <c r="CL79" i="1"/>
  <c r="CN79" i="1"/>
  <c r="CT79" i="1"/>
  <c r="FN81" i="1"/>
  <c r="FQ80" i="1"/>
  <c r="FU80" i="1"/>
  <c r="DU78" i="1"/>
  <c r="DV78" i="1" s="1"/>
  <c r="DW78" i="1"/>
  <c r="DX78" i="1" s="1"/>
  <c r="DL78" i="1"/>
  <c r="DH78" i="1" s="1"/>
  <c r="DE78" i="1" s="1"/>
  <c r="DD78" i="1" s="1"/>
  <c r="DQ78" i="1"/>
  <c r="DY78" i="1"/>
  <c r="DS78" i="1"/>
  <c r="EL83" i="1"/>
  <c r="EI84" i="1"/>
  <c r="EP83" i="1"/>
  <c r="DT79" i="1"/>
  <c r="DZ79" i="1" s="1"/>
  <c r="DR79" i="1"/>
  <c r="DM79" i="1"/>
  <c r="DO79" i="1"/>
  <c r="DP79" i="1"/>
  <c r="DJ80" i="1"/>
  <c r="DG81" i="1"/>
  <c r="DN80" i="1"/>
  <c r="EY81" i="1"/>
  <c r="EZ81" i="1" s="1"/>
  <c r="ES81" i="1"/>
  <c r="EN81" i="1"/>
  <c r="EJ81" i="1" s="1"/>
  <c r="EG81" i="1" s="1"/>
  <c r="EF81" i="1" s="1"/>
  <c r="EW81" i="1"/>
  <c r="EX81" i="1" s="1"/>
  <c r="FA81" i="1"/>
  <c r="EU81" i="1"/>
  <c r="GD78" i="1"/>
  <c r="GE78" i="1" s="1"/>
  <c r="GF78" i="1"/>
  <c r="FZ78" i="1"/>
  <c r="FX78" i="1"/>
  <c r="GB78" i="1"/>
  <c r="GC78" i="1" s="1"/>
  <c r="FQ201" i="1" l="1"/>
  <c r="FU201" i="1"/>
  <c r="FN202" i="1"/>
  <c r="FT200" i="1"/>
  <c r="FV200" i="1"/>
  <c r="FW200" i="1"/>
  <c r="FY200" i="1"/>
  <c r="GA200" i="1"/>
  <c r="GG200" i="1" s="1"/>
  <c r="FS200" i="1" s="1"/>
  <c r="FO200" i="1" s="1"/>
  <c r="FL200" i="1" s="1"/>
  <c r="FK200" i="1" s="1"/>
  <c r="FZ321" i="1"/>
  <c r="GD321" i="1"/>
  <c r="GE321" i="1" s="1"/>
  <c r="FX321" i="1"/>
  <c r="GF321" i="1"/>
  <c r="GB321" i="1"/>
  <c r="GC321" i="1" s="1"/>
  <c r="DM200" i="1"/>
  <c r="DO200" i="1"/>
  <c r="DP200" i="1"/>
  <c r="DR200" i="1"/>
  <c r="DT200" i="1"/>
  <c r="DZ200" i="1" s="1"/>
  <c r="FY322" i="1"/>
  <c r="FT322" i="1"/>
  <c r="FW322" i="1"/>
  <c r="FV322" i="1"/>
  <c r="GA322" i="1"/>
  <c r="GG322" i="1" s="1"/>
  <c r="FS322" i="1" s="1"/>
  <c r="FO322" i="1" s="1"/>
  <c r="FL322" i="1" s="1"/>
  <c r="FK322" i="1" s="1"/>
  <c r="FQ323" i="1"/>
  <c r="FU323" i="1"/>
  <c r="DN201" i="1"/>
  <c r="DJ201" i="1"/>
  <c r="DG202" i="1"/>
  <c r="GD199" i="1"/>
  <c r="GE199" i="1" s="1"/>
  <c r="GB199" i="1"/>
  <c r="GC199" i="1" s="1"/>
  <c r="GF199" i="1"/>
  <c r="FX199" i="1"/>
  <c r="FZ199" i="1"/>
  <c r="DJ322" i="1"/>
  <c r="DN322" i="1"/>
  <c r="DR321" i="1"/>
  <c r="DM321" i="1"/>
  <c r="DO321" i="1"/>
  <c r="DP321" i="1"/>
  <c r="DT321" i="1"/>
  <c r="DZ321" i="1" s="1"/>
  <c r="DW199" i="1"/>
  <c r="DX199" i="1" s="1"/>
  <c r="DQ199" i="1"/>
  <c r="DY199" i="1"/>
  <c r="DS199" i="1"/>
  <c r="DL199" i="1"/>
  <c r="DH199" i="1" s="1"/>
  <c r="DE199" i="1" s="1"/>
  <c r="DD199" i="1" s="1"/>
  <c r="DU199" i="1"/>
  <c r="DV199" i="1" s="1"/>
  <c r="DS320" i="1"/>
  <c r="DL320" i="1"/>
  <c r="DH320" i="1" s="1"/>
  <c r="DE320" i="1" s="1"/>
  <c r="DD320" i="1" s="1"/>
  <c r="DU320" i="1"/>
  <c r="DV320" i="1" s="1"/>
  <c r="DW320" i="1"/>
  <c r="DX320" i="1" s="1"/>
  <c r="DQ320" i="1"/>
  <c r="DY320" i="1"/>
  <c r="EP324" i="1"/>
  <c r="EI325" i="1"/>
  <c r="EL324" i="1"/>
  <c r="CI324" i="1"/>
  <c r="CB325" i="1"/>
  <c r="CE324" i="1"/>
  <c r="EN322" i="1"/>
  <c r="EJ322" i="1" s="1"/>
  <c r="EG322" i="1" s="1"/>
  <c r="EF322" i="1" s="1"/>
  <c r="EU322" i="1"/>
  <c r="EY322" i="1"/>
  <c r="EZ322" i="1" s="1"/>
  <c r="EW322" i="1"/>
  <c r="EX322" i="1" s="1"/>
  <c r="ES322" i="1"/>
  <c r="FA322" i="1"/>
  <c r="FN324" i="1"/>
  <c r="CM323" i="1"/>
  <c r="CJ323" i="1"/>
  <c r="CH323" i="1"/>
  <c r="CK323" i="1"/>
  <c r="CO323" i="1"/>
  <c r="CU323" i="1" s="1"/>
  <c r="CP322" i="1"/>
  <c r="CQ322" i="1" s="1"/>
  <c r="CR322" i="1"/>
  <c r="CS322" i="1" s="1"/>
  <c r="CL322" i="1"/>
  <c r="CT322" i="1"/>
  <c r="CG322" i="1"/>
  <c r="CC322" i="1" s="1"/>
  <c r="BZ322" i="1" s="1"/>
  <c r="BY322" i="1" s="1"/>
  <c r="CN322" i="1"/>
  <c r="ER323" i="1"/>
  <c r="EQ323" i="1"/>
  <c r="EV323" i="1"/>
  <c r="FB323" i="1" s="1"/>
  <c r="ET323" i="1"/>
  <c r="EO323" i="1"/>
  <c r="DG323" i="1"/>
  <c r="ET203" i="1"/>
  <c r="ER203" i="1"/>
  <c r="EQ203" i="1"/>
  <c r="EV203" i="1"/>
  <c r="FB203" i="1" s="1"/>
  <c r="EO203" i="1"/>
  <c r="EN202" i="1"/>
  <c r="EJ202" i="1" s="1"/>
  <c r="EG202" i="1" s="1"/>
  <c r="EF202" i="1" s="1"/>
  <c r="EU202" i="1"/>
  <c r="FA202" i="1"/>
  <c r="ES202" i="1"/>
  <c r="EY202" i="1"/>
  <c r="EZ202" i="1" s="1"/>
  <c r="EW202" i="1"/>
  <c r="EX202" i="1" s="1"/>
  <c r="CB206" i="1"/>
  <c r="CI205" i="1"/>
  <c r="CE205" i="1"/>
  <c r="CG203" i="1"/>
  <c r="CC203" i="1" s="1"/>
  <c r="BZ203" i="1" s="1"/>
  <c r="BY203" i="1" s="1"/>
  <c r="CT203" i="1"/>
  <c r="CL203" i="1"/>
  <c r="CR203" i="1"/>
  <c r="CS203" i="1" s="1"/>
  <c r="CP203" i="1"/>
  <c r="CQ203" i="1" s="1"/>
  <c r="CN203" i="1"/>
  <c r="CK204" i="1"/>
  <c r="CH204" i="1"/>
  <c r="CO204" i="1"/>
  <c r="CU204" i="1" s="1"/>
  <c r="CM204" i="1"/>
  <c r="CJ204" i="1"/>
  <c r="EP204" i="1"/>
  <c r="EI205" i="1"/>
  <c r="EL204" i="1"/>
  <c r="DQ79" i="1"/>
  <c r="DS79" i="1"/>
  <c r="DW79" i="1"/>
  <c r="DX79" i="1" s="1"/>
  <c r="DY79" i="1"/>
  <c r="DL79" i="1"/>
  <c r="DH79" i="1" s="1"/>
  <c r="DE79" i="1" s="1"/>
  <c r="DD79" i="1" s="1"/>
  <c r="DU79" i="1"/>
  <c r="DV79" i="1" s="1"/>
  <c r="FX79" i="1"/>
  <c r="GD79" i="1"/>
  <c r="GE79" i="1" s="1"/>
  <c r="FZ79" i="1"/>
  <c r="GF79" i="1"/>
  <c r="GB79" i="1"/>
  <c r="GC79" i="1" s="1"/>
  <c r="CM81" i="1"/>
  <c r="CO81" i="1"/>
  <c r="CU81" i="1" s="1"/>
  <c r="CH81" i="1"/>
  <c r="CK81" i="1"/>
  <c r="CJ81" i="1"/>
  <c r="EQ83" i="1"/>
  <c r="EO83" i="1"/>
  <c r="EV83" i="1"/>
  <c r="FB83" i="1" s="1"/>
  <c r="ER83" i="1"/>
  <c r="ET83" i="1"/>
  <c r="CN80" i="1"/>
  <c r="CR80" i="1"/>
  <c r="CS80" i="1" s="1"/>
  <c r="CG80" i="1"/>
  <c r="CC80" i="1" s="1"/>
  <c r="BZ80" i="1" s="1"/>
  <c r="BY80" i="1" s="1"/>
  <c r="CL80" i="1"/>
  <c r="CT80" i="1"/>
  <c r="CP80" i="1"/>
  <c r="CQ80" i="1" s="1"/>
  <c r="DM80" i="1"/>
  <c r="DO80" i="1"/>
  <c r="DR80" i="1"/>
  <c r="DP80" i="1"/>
  <c r="DT80" i="1"/>
  <c r="DZ80" i="1" s="1"/>
  <c r="DG82" i="1"/>
  <c r="DJ81" i="1"/>
  <c r="DN81" i="1"/>
  <c r="EL84" i="1"/>
  <c r="EI85" i="1"/>
  <c r="EP84" i="1"/>
  <c r="FW80" i="1"/>
  <c r="FT80" i="1"/>
  <c r="GA80" i="1"/>
  <c r="GG80" i="1" s="1"/>
  <c r="FS80" i="1" s="1"/>
  <c r="FO80" i="1" s="1"/>
  <c r="FL80" i="1" s="1"/>
  <c r="FK80" i="1" s="1"/>
  <c r="FV80" i="1"/>
  <c r="FY80" i="1"/>
  <c r="CE82" i="1"/>
  <c r="CB83" i="1"/>
  <c r="CI82" i="1"/>
  <c r="FN82" i="1"/>
  <c r="FQ81" i="1"/>
  <c r="FU81" i="1"/>
  <c r="EY82" i="1"/>
  <c r="EZ82" i="1" s="1"/>
  <c r="ES82" i="1"/>
  <c r="FA82" i="1"/>
  <c r="EU82" i="1"/>
  <c r="EN82" i="1"/>
  <c r="EJ82" i="1" s="1"/>
  <c r="EG82" i="1" s="1"/>
  <c r="EF82" i="1" s="1"/>
  <c r="EW82" i="1"/>
  <c r="EX82" i="1" s="1"/>
  <c r="FQ324" i="1" l="1"/>
  <c r="FU324" i="1"/>
  <c r="DS200" i="1"/>
  <c r="DL200" i="1"/>
  <c r="DH200" i="1" s="1"/>
  <c r="DE200" i="1" s="1"/>
  <c r="DD200" i="1" s="1"/>
  <c r="DW200" i="1"/>
  <c r="DX200" i="1" s="1"/>
  <c r="DQ200" i="1"/>
  <c r="DY200" i="1"/>
  <c r="DU200" i="1"/>
  <c r="DV200" i="1" s="1"/>
  <c r="DU321" i="1"/>
  <c r="DV321" i="1" s="1"/>
  <c r="DW321" i="1"/>
  <c r="DX321" i="1" s="1"/>
  <c r="DY321" i="1"/>
  <c r="DQ321" i="1"/>
  <c r="DL321" i="1"/>
  <c r="DH321" i="1" s="1"/>
  <c r="DE321" i="1" s="1"/>
  <c r="DD321" i="1" s="1"/>
  <c r="DS321" i="1"/>
  <c r="DN202" i="1"/>
  <c r="DJ202" i="1"/>
  <c r="DG203" i="1"/>
  <c r="GD322" i="1"/>
  <c r="GE322" i="1" s="1"/>
  <c r="FX322" i="1"/>
  <c r="GF322" i="1"/>
  <c r="GB322" i="1"/>
  <c r="GC322" i="1" s="1"/>
  <c r="FZ322" i="1"/>
  <c r="GB200" i="1"/>
  <c r="GC200" i="1" s="1"/>
  <c r="GF200" i="1"/>
  <c r="GD200" i="1"/>
  <c r="GE200" i="1" s="1"/>
  <c r="FX200" i="1"/>
  <c r="FZ200" i="1"/>
  <c r="DP322" i="1"/>
  <c r="DO322" i="1"/>
  <c r="DR322" i="1"/>
  <c r="DM322" i="1"/>
  <c r="DT322" i="1"/>
  <c r="DZ322" i="1" s="1"/>
  <c r="FQ202" i="1"/>
  <c r="FU202" i="1"/>
  <c r="FN203" i="1"/>
  <c r="DJ323" i="1"/>
  <c r="DN323" i="1"/>
  <c r="DM201" i="1"/>
  <c r="DO201" i="1"/>
  <c r="DR201" i="1"/>
  <c r="DP201" i="1"/>
  <c r="DT201" i="1"/>
  <c r="DZ201" i="1" s="1"/>
  <c r="FY201" i="1"/>
  <c r="FV201" i="1"/>
  <c r="FT201" i="1"/>
  <c r="FW201" i="1"/>
  <c r="GA201" i="1"/>
  <c r="GG201" i="1" s="1"/>
  <c r="FS201" i="1" s="1"/>
  <c r="FO201" i="1" s="1"/>
  <c r="FL201" i="1" s="1"/>
  <c r="FK201" i="1" s="1"/>
  <c r="FY323" i="1"/>
  <c r="FT323" i="1"/>
  <c r="FV323" i="1"/>
  <c r="FW323" i="1"/>
  <c r="GA323" i="1"/>
  <c r="GG323" i="1" s="1"/>
  <c r="FS323" i="1" s="1"/>
  <c r="FO323" i="1" s="1"/>
  <c r="FL323" i="1" s="1"/>
  <c r="FK323" i="1" s="1"/>
  <c r="FN325" i="1"/>
  <c r="DG324" i="1"/>
  <c r="CB326" i="1"/>
  <c r="CI325" i="1"/>
  <c r="CE325" i="1"/>
  <c r="CT323" i="1"/>
  <c r="CL323" i="1"/>
  <c r="CN323" i="1"/>
  <c r="CG323" i="1"/>
  <c r="CC323" i="1" s="1"/>
  <c r="BZ323" i="1" s="1"/>
  <c r="BY323" i="1" s="1"/>
  <c r="CP323" i="1"/>
  <c r="CQ323" i="1" s="1"/>
  <c r="CR323" i="1"/>
  <c r="CS323" i="1" s="1"/>
  <c r="CH324" i="1"/>
  <c r="CM324" i="1"/>
  <c r="CO324" i="1"/>
  <c r="CU324" i="1" s="1"/>
  <c r="CK324" i="1"/>
  <c r="CJ324" i="1"/>
  <c r="EI326" i="1"/>
  <c r="EP325" i="1"/>
  <c r="EL325" i="1"/>
  <c r="EY323" i="1"/>
  <c r="EZ323" i="1" s="1"/>
  <c r="EN323" i="1"/>
  <c r="EJ323" i="1" s="1"/>
  <c r="EG323" i="1" s="1"/>
  <c r="EF323" i="1" s="1"/>
  <c r="FA323" i="1"/>
  <c r="EW323" i="1"/>
  <c r="EX323" i="1" s="1"/>
  <c r="EU323" i="1"/>
  <c r="ES323" i="1"/>
  <c r="EV324" i="1"/>
  <c r="FB324" i="1" s="1"/>
  <c r="ET324" i="1"/>
  <c r="ER324" i="1"/>
  <c r="EQ324" i="1"/>
  <c r="EO324" i="1"/>
  <c r="CP204" i="1"/>
  <c r="CQ204" i="1" s="1"/>
  <c r="CG204" i="1"/>
  <c r="CC204" i="1" s="1"/>
  <c r="BZ204" i="1" s="1"/>
  <c r="BY204" i="1" s="1"/>
  <c r="CN204" i="1"/>
  <c r="CL204" i="1"/>
  <c r="CT204" i="1"/>
  <c r="CR204" i="1"/>
  <c r="CS204" i="1" s="1"/>
  <c r="CO205" i="1"/>
  <c r="CU205" i="1" s="1"/>
  <c r="CM205" i="1"/>
  <c r="CK205" i="1"/>
  <c r="CJ205" i="1"/>
  <c r="CH205" i="1"/>
  <c r="EY203" i="1"/>
  <c r="EZ203" i="1" s="1"/>
  <c r="EN203" i="1"/>
  <c r="EJ203" i="1" s="1"/>
  <c r="EG203" i="1" s="1"/>
  <c r="EF203" i="1" s="1"/>
  <c r="FA203" i="1"/>
  <c r="EW203" i="1"/>
  <c r="EX203" i="1" s="1"/>
  <c r="EU203" i="1"/>
  <c r="ES203" i="1"/>
  <c r="CI206" i="1"/>
  <c r="CB207" i="1"/>
  <c r="CE206" i="1"/>
  <c r="EP205" i="1"/>
  <c r="EI206" i="1"/>
  <c r="EL205" i="1"/>
  <c r="EV204" i="1"/>
  <c r="FB204" i="1" s="1"/>
  <c r="ET204" i="1"/>
  <c r="ER204" i="1"/>
  <c r="EQ204" i="1"/>
  <c r="EO204" i="1"/>
  <c r="FN83" i="1"/>
  <c r="FQ82" i="1"/>
  <c r="FU82" i="1"/>
  <c r="EO84" i="1"/>
  <c r="ER84" i="1"/>
  <c r="ET84" i="1"/>
  <c r="EV84" i="1"/>
  <c r="FB84" i="1" s="1"/>
  <c r="EQ84" i="1"/>
  <c r="CG81" i="1"/>
  <c r="CC81" i="1" s="1"/>
  <c r="BZ81" i="1" s="1"/>
  <c r="BY81" i="1" s="1"/>
  <c r="CP81" i="1"/>
  <c r="CQ81" i="1" s="1"/>
  <c r="CT81" i="1"/>
  <c r="CL81" i="1"/>
  <c r="CN81" i="1"/>
  <c r="CR81" i="1"/>
  <c r="CS81" i="1" s="1"/>
  <c r="FZ80" i="1"/>
  <c r="GF80" i="1"/>
  <c r="GD80" i="1"/>
  <c r="GE80" i="1" s="1"/>
  <c r="FX80" i="1"/>
  <c r="GB80" i="1"/>
  <c r="GC80" i="1" s="1"/>
  <c r="EL85" i="1"/>
  <c r="EI86" i="1"/>
  <c r="EP85" i="1"/>
  <c r="DU80" i="1"/>
  <c r="DV80" i="1" s="1"/>
  <c r="DQ80" i="1"/>
  <c r="DW80" i="1"/>
  <c r="DX80" i="1" s="1"/>
  <c r="DL80" i="1"/>
  <c r="DH80" i="1" s="1"/>
  <c r="DE80" i="1" s="1"/>
  <c r="DD80" i="1" s="1"/>
  <c r="DS80" i="1"/>
  <c r="DY80" i="1"/>
  <c r="DP81" i="1"/>
  <c r="DM81" i="1"/>
  <c r="DO81" i="1"/>
  <c r="DR81" i="1"/>
  <c r="DT81" i="1"/>
  <c r="DZ81" i="1" s="1"/>
  <c r="CB84" i="1"/>
  <c r="CE83" i="1"/>
  <c r="CI83" i="1"/>
  <c r="EU83" i="1"/>
  <c r="FA83" i="1"/>
  <c r="EY83" i="1"/>
  <c r="EZ83" i="1" s="1"/>
  <c r="EN83" i="1"/>
  <c r="EJ83" i="1" s="1"/>
  <c r="EG83" i="1" s="1"/>
  <c r="EF83" i="1" s="1"/>
  <c r="ES83" i="1"/>
  <c r="EW83" i="1"/>
  <c r="EX83" i="1" s="1"/>
  <c r="CK82" i="1"/>
  <c r="CO82" i="1"/>
  <c r="CU82" i="1" s="1"/>
  <c r="CH82" i="1"/>
  <c r="CJ82" i="1"/>
  <c r="CM82" i="1"/>
  <c r="FT81" i="1"/>
  <c r="FW81" i="1"/>
  <c r="GA81" i="1"/>
  <c r="GG81" i="1" s="1"/>
  <c r="FS81" i="1" s="1"/>
  <c r="FO81" i="1" s="1"/>
  <c r="FL81" i="1" s="1"/>
  <c r="FK81" i="1" s="1"/>
  <c r="FV81" i="1"/>
  <c r="FY81" i="1"/>
  <c r="DJ82" i="1"/>
  <c r="DG83" i="1"/>
  <c r="DN82" i="1"/>
  <c r="DQ322" i="1" l="1"/>
  <c r="DY322" i="1"/>
  <c r="DS322" i="1"/>
  <c r="DU322" i="1"/>
  <c r="DV322" i="1" s="1"/>
  <c r="DW322" i="1"/>
  <c r="DX322" i="1" s="1"/>
  <c r="DL322" i="1"/>
  <c r="DH322" i="1" s="1"/>
  <c r="DE322" i="1" s="1"/>
  <c r="DD322" i="1" s="1"/>
  <c r="DT202" i="1"/>
  <c r="DZ202" i="1" s="1"/>
  <c r="DM202" i="1"/>
  <c r="DO202" i="1"/>
  <c r="DP202" i="1"/>
  <c r="DR202" i="1"/>
  <c r="FX201" i="1"/>
  <c r="FZ201" i="1"/>
  <c r="GF201" i="1"/>
  <c r="GB201" i="1"/>
  <c r="GC201" i="1" s="1"/>
  <c r="GD201" i="1"/>
  <c r="GE201" i="1" s="1"/>
  <c r="DO323" i="1"/>
  <c r="DM323" i="1"/>
  <c r="DR323" i="1"/>
  <c r="DP323" i="1"/>
  <c r="DT323" i="1"/>
  <c r="DZ323" i="1" s="1"/>
  <c r="DU201" i="1"/>
  <c r="DV201" i="1" s="1"/>
  <c r="DW201" i="1"/>
  <c r="DX201" i="1" s="1"/>
  <c r="DQ201" i="1"/>
  <c r="DY201" i="1"/>
  <c r="DS201" i="1"/>
  <c r="DL201" i="1"/>
  <c r="DH201" i="1" s="1"/>
  <c r="DE201" i="1" s="1"/>
  <c r="DD201" i="1" s="1"/>
  <c r="DJ324" i="1"/>
  <c r="DN324" i="1"/>
  <c r="FQ325" i="1"/>
  <c r="FU325" i="1"/>
  <c r="FQ203" i="1"/>
  <c r="FU203" i="1"/>
  <c r="FN204" i="1"/>
  <c r="FW202" i="1"/>
  <c r="FY202" i="1"/>
  <c r="FT202" i="1"/>
  <c r="FV202" i="1"/>
  <c r="GA202" i="1"/>
  <c r="GG202" i="1" s="1"/>
  <c r="FS202" i="1" s="1"/>
  <c r="FO202" i="1" s="1"/>
  <c r="FL202" i="1" s="1"/>
  <c r="FK202" i="1" s="1"/>
  <c r="FT324" i="1"/>
  <c r="FV324" i="1"/>
  <c r="FW324" i="1"/>
  <c r="FY324" i="1"/>
  <c r="GA324" i="1"/>
  <c r="GG324" i="1" s="1"/>
  <c r="FS324" i="1" s="1"/>
  <c r="FO324" i="1" s="1"/>
  <c r="FL324" i="1" s="1"/>
  <c r="FK324" i="1" s="1"/>
  <c r="FX323" i="1"/>
  <c r="GB323" i="1"/>
  <c r="GC323" i="1" s="1"/>
  <c r="GD323" i="1"/>
  <c r="GE323" i="1" s="1"/>
  <c r="GF323" i="1"/>
  <c r="FZ323" i="1"/>
  <c r="DJ203" i="1"/>
  <c r="DN203" i="1"/>
  <c r="DG204" i="1"/>
  <c r="CP324" i="1"/>
  <c r="CQ324" i="1" s="1"/>
  <c r="CL324" i="1"/>
  <c r="CR324" i="1"/>
  <c r="CS324" i="1" s="1"/>
  <c r="CG324" i="1"/>
  <c r="CC324" i="1" s="1"/>
  <c r="BZ324" i="1" s="1"/>
  <c r="BY324" i="1" s="1"/>
  <c r="CN324" i="1"/>
  <c r="CT324" i="1"/>
  <c r="EN324" i="1"/>
  <c r="EJ324" i="1" s="1"/>
  <c r="EG324" i="1" s="1"/>
  <c r="EF324" i="1" s="1"/>
  <c r="EU324" i="1"/>
  <c r="EW324" i="1"/>
  <c r="EX324" i="1" s="1"/>
  <c r="FA324" i="1"/>
  <c r="ES324" i="1"/>
  <c r="EY324" i="1"/>
  <c r="EZ324" i="1" s="1"/>
  <c r="CI326" i="1"/>
  <c r="CE326" i="1"/>
  <c r="CB327" i="1"/>
  <c r="CO325" i="1"/>
  <c r="CU325" i="1" s="1"/>
  <c r="CM325" i="1"/>
  <c r="CK325" i="1"/>
  <c r="CH325" i="1"/>
  <c r="CJ325" i="1"/>
  <c r="DG325" i="1"/>
  <c r="ET325" i="1"/>
  <c r="ER325" i="1"/>
  <c r="EQ325" i="1"/>
  <c r="EV325" i="1"/>
  <c r="FB325" i="1" s="1"/>
  <c r="EO325" i="1"/>
  <c r="FN326" i="1"/>
  <c r="EI327" i="1"/>
  <c r="EP326" i="1"/>
  <c r="EL326" i="1"/>
  <c r="CK206" i="1"/>
  <c r="CH206" i="1"/>
  <c r="CO206" i="1"/>
  <c r="CU206" i="1" s="1"/>
  <c r="CM206" i="1"/>
  <c r="CJ206" i="1"/>
  <c r="ET205" i="1"/>
  <c r="ER205" i="1"/>
  <c r="EQ205" i="1"/>
  <c r="EV205" i="1"/>
  <c r="FB205" i="1" s="1"/>
  <c r="EO205" i="1"/>
  <c r="EN204" i="1"/>
  <c r="EJ204" i="1" s="1"/>
  <c r="EG204" i="1" s="1"/>
  <c r="EF204" i="1" s="1"/>
  <c r="EU204" i="1"/>
  <c r="ES204" i="1"/>
  <c r="FA204" i="1"/>
  <c r="EY204" i="1"/>
  <c r="EZ204" i="1" s="1"/>
  <c r="EW204" i="1"/>
  <c r="EX204" i="1" s="1"/>
  <c r="EP206" i="1"/>
  <c r="EI207" i="1"/>
  <c r="EL206" i="1"/>
  <c r="CB208" i="1"/>
  <c r="CI207" i="1"/>
  <c r="CE207" i="1"/>
  <c r="CG205" i="1"/>
  <c r="CC205" i="1" s="1"/>
  <c r="BZ205" i="1" s="1"/>
  <c r="BY205" i="1" s="1"/>
  <c r="CT205" i="1"/>
  <c r="CL205" i="1"/>
  <c r="CP205" i="1"/>
  <c r="CQ205" i="1" s="1"/>
  <c r="CR205" i="1"/>
  <c r="CS205" i="1" s="1"/>
  <c r="CN205" i="1"/>
  <c r="GF81" i="1"/>
  <c r="GD81" i="1"/>
  <c r="GE81" i="1" s="1"/>
  <c r="FZ81" i="1"/>
  <c r="GB81" i="1"/>
  <c r="GC81" i="1" s="1"/>
  <c r="FX81" i="1"/>
  <c r="EV85" i="1"/>
  <c r="FB85" i="1" s="1"/>
  <c r="ET85" i="1"/>
  <c r="EO85" i="1"/>
  <c r="EQ85" i="1"/>
  <c r="ER85" i="1"/>
  <c r="DP82" i="1"/>
  <c r="DM82" i="1"/>
  <c r="DT82" i="1"/>
  <c r="DZ82" i="1" s="1"/>
  <c r="DO82" i="1"/>
  <c r="DR82" i="1"/>
  <c r="DG84" i="1"/>
  <c r="DJ83" i="1"/>
  <c r="DN83" i="1"/>
  <c r="DY81" i="1"/>
  <c r="DU81" i="1"/>
  <c r="DV81" i="1" s="1"/>
  <c r="DW81" i="1"/>
  <c r="DX81" i="1" s="1"/>
  <c r="DS81" i="1"/>
  <c r="DQ81" i="1"/>
  <c r="DL81" i="1"/>
  <c r="DH81" i="1" s="1"/>
  <c r="DE81" i="1" s="1"/>
  <c r="DD81" i="1" s="1"/>
  <c r="CN82" i="1"/>
  <c r="CR82" i="1"/>
  <c r="CS82" i="1" s="1"/>
  <c r="CG82" i="1"/>
  <c r="CC82" i="1" s="1"/>
  <c r="BZ82" i="1" s="1"/>
  <c r="BY82" i="1" s="1"/>
  <c r="CL82" i="1"/>
  <c r="CT82" i="1"/>
  <c r="CP82" i="1"/>
  <c r="CQ82" i="1" s="1"/>
  <c r="EI87" i="1"/>
  <c r="EL86" i="1"/>
  <c r="EP86" i="1"/>
  <c r="CK83" i="1"/>
  <c r="CJ83" i="1"/>
  <c r="CM83" i="1"/>
  <c r="CO83" i="1"/>
  <c r="CU83" i="1" s="1"/>
  <c r="CH83" i="1"/>
  <c r="EW84" i="1"/>
  <c r="EX84" i="1" s="1"/>
  <c r="EN84" i="1"/>
  <c r="EJ84" i="1" s="1"/>
  <c r="EG84" i="1" s="1"/>
  <c r="EF84" i="1" s="1"/>
  <c r="FA84" i="1"/>
  <c r="EU84" i="1"/>
  <c r="EY84" i="1"/>
  <c r="EZ84" i="1" s="1"/>
  <c r="ES84" i="1"/>
  <c r="FT82" i="1"/>
  <c r="FW82" i="1"/>
  <c r="FV82" i="1"/>
  <c r="GA82" i="1"/>
  <c r="GG82" i="1" s="1"/>
  <c r="FS82" i="1" s="1"/>
  <c r="FO82" i="1" s="1"/>
  <c r="FL82" i="1" s="1"/>
  <c r="FK82" i="1" s="1"/>
  <c r="FY82" i="1"/>
  <c r="CB85" i="1"/>
  <c r="CE84" i="1"/>
  <c r="CI84" i="1"/>
  <c r="FN84" i="1"/>
  <c r="FQ83" i="1"/>
  <c r="FU83" i="1"/>
  <c r="DJ325" i="1" l="1"/>
  <c r="DN325" i="1"/>
  <c r="FV325" i="1"/>
  <c r="FT325" i="1"/>
  <c r="FY325" i="1"/>
  <c r="FW325" i="1"/>
  <c r="GA325" i="1"/>
  <c r="GG325" i="1" s="1"/>
  <c r="FS325" i="1" s="1"/>
  <c r="FO325" i="1" s="1"/>
  <c r="FL325" i="1" s="1"/>
  <c r="FK325" i="1" s="1"/>
  <c r="FX324" i="1"/>
  <c r="GF324" i="1"/>
  <c r="GD324" i="1"/>
  <c r="GE324" i="1" s="1"/>
  <c r="GB324" i="1"/>
  <c r="GC324" i="1" s="1"/>
  <c r="FZ324" i="1"/>
  <c r="FQ326" i="1"/>
  <c r="FU326" i="1"/>
  <c r="FX202" i="1"/>
  <c r="GF202" i="1"/>
  <c r="FZ202" i="1"/>
  <c r="GB202" i="1"/>
  <c r="GC202" i="1" s="1"/>
  <c r="GD202" i="1"/>
  <c r="GE202" i="1" s="1"/>
  <c r="DR324" i="1"/>
  <c r="DM324" i="1"/>
  <c r="DP324" i="1"/>
  <c r="DO324" i="1"/>
  <c r="DT324" i="1"/>
  <c r="DZ324" i="1" s="1"/>
  <c r="DG205" i="1"/>
  <c r="DN204" i="1"/>
  <c r="DJ204" i="1"/>
  <c r="DU202" i="1"/>
  <c r="DV202" i="1" s="1"/>
  <c r="DW202" i="1"/>
  <c r="DX202" i="1" s="1"/>
  <c r="DQ202" i="1"/>
  <c r="DY202" i="1"/>
  <c r="DS202" i="1"/>
  <c r="DL202" i="1"/>
  <c r="DH202" i="1" s="1"/>
  <c r="DE202" i="1" s="1"/>
  <c r="DD202" i="1" s="1"/>
  <c r="DP203" i="1"/>
  <c r="DR203" i="1"/>
  <c r="DT203" i="1"/>
  <c r="DZ203" i="1" s="1"/>
  <c r="DM203" i="1"/>
  <c r="DO203" i="1"/>
  <c r="FQ204" i="1"/>
  <c r="FU204" i="1"/>
  <c r="FN205" i="1"/>
  <c r="DS323" i="1"/>
  <c r="DL323" i="1"/>
  <c r="DH323" i="1" s="1"/>
  <c r="DE323" i="1" s="1"/>
  <c r="DD323" i="1" s="1"/>
  <c r="DW323" i="1"/>
  <c r="DX323" i="1" s="1"/>
  <c r="DU323" i="1"/>
  <c r="DV323" i="1" s="1"/>
  <c r="DQ323" i="1"/>
  <c r="DY323" i="1"/>
  <c r="FY203" i="1"/>
  <c r="FW203" i="1"/>
  <c r="FT203" i="1"/>
  <c r="FV203" i="1"/>
  <c r="GA203" i="1"/>
  <c r="GG203" i="1" s="1"/>
  <c r="FS203" i="1" s="1"/>
  <c r="FO203" i="1" s="1"/>
  <c r="FL203" i="1" s="1"/>
  <c r="FK203" i="1" s="1"/>
  <c r="DG326" i="1"/>
  <c r="CI327" i="1"/>
  <c r="CE327" i="1"/>
  <c r="CB328" i="1"/>
  <c r="EY325" i="1"/>
  <c r="EZ325" i="1" s="1"/>
  <c r="EN325" i="1"/>
  <c r="EJ325" i="1" s="1"/>
  <c r="EG325" i="1" s="1"/>
  <c r="EF325" i="1" s="1"/>
  <c r="ES325" i="1"/>
  <c r="EW325" i="1"/>
  <c r="EX325" i="1" s="1"/>
  <c r="FA325" i="1"/>
  <c r="EU325" i="1"/>
  <c r="EI328" i="1"/>
  <c r="EP327" i="1"/>
  <c r="EL327" i="1"/>
  <c r="CG325" i="1"/>
  <c r="CC325" i="1" s="1"/>
  <c r="BZ325" i="1" s="1"/>
  <c r="BY325" i="1" s="1"/>
  <c r="CT325" i="1"/>
  <c r="CL325" i="1"/>
  <c r="CN325" i="1"/>
  <c r="CR325" i="1"/>
  <c r="CS325" i="1" s="1"/>
  <c r="CP325" i="1"/>
  <c r="CQ325" i="1" s="1"/>
  <c r="CK326" i="1"/>
  <c r="CH326" i="1"/>
  <c r="CO326" i="1"/>
  <c r="CU326" i="1" s="1"/>
  <c r="CM326" i="1"/>
  <c r="CJ326" i="1"/>
  <c r="ER326" i="1"/>
  <c r="EV326" i="1"/>
  <c r="FB326" i="1" s="1"/>
  <c r="EQ326" i="1"/>
  <c r="ET326" i="1"/>
  <c r="EO326" i="1"/>
  <c r="FN327" i="1"/>
  <c r="CI208" i="1"/>
  <c r="CB209" i="1"/>
  <c r="CE208" i="1"/>
  <c r="EI208" i="1"/>
  <c r="EP207" i="1"/>
  <c r="EL207" i="1"/>
  <c r="EV206" i="1"/>
  <c r="FB206" i="1" s="1"/>
  <c r="ET206" i="1"/>
  <c r="ER206" i="1"/>
  <c r="EQ206" i="1"/>
  <c r="EO206" i="1"/>
  <c r="CO207" i="1"/>
  <c r="CU207" i="1" s="1"/>
  <c r="CM207" i="1"/>
  <c r="CK207" i="1"/>
  <c r="CJ207" i="1"/>
  <c r="CH207" i="1"/>
  <c r="EY205" i="1"/>
  <c r="EZ205" i="1" s="1"/>
  <c r="EN205" i="1"/>
  <c r="EJ205" i="1" s="1"/>
  <c r="EG205" i="1" s="1"/>
  <c r="EF205" i="1" s="1"/>
  <c r="FA205" i="1"/>
  <c r="EW205" i="1"/>
  <c r="EX205" i="1" s="1"/>
  <c r="EU205" i="1"/>
  <c r="ES205" i="1"/>
  <c r="CP206" i="1"/>
  <c r="CQ206" i="1" s="1"/>
  <c r="CG206" i="1"/>
  <c r="CC206" i="1" s="1"/>
  <c r="BZ206" i="1" s="1"/>
  <c r="BY206" i="1" s="1"/>
  <c r="CN206" i="1"/>
  <c r="CR206" i="1"/>
  <c r="CS206" i="1" s="1"/>
  <c r="CT206" i="1"/>
  <c r="CL206" i="1"/>
  <c r="DG85" i="1"/>
  <c r="DJ84" i="1"/>
  <c r="DN84" i="1"/>
  <c r="ES85" i="1"/>
  <c r="FA85" i="1"/>
  <c r="EN85" i="1"/>
  <c r="EJ85" i="1" s="1"/>
  <c r="EG85" i="1" s="1"/>
  <c r="EF85" i="1" s="1"/>
  <c r="EW85" i="1"/>
  <c r="EX85" i="1" s="1"/>
  <c r="EU85" i="1"/>
  <c r="EY85" i="1"/>
  <c r="EZ85" i="1" s="1"/>
  <c r="EL87" i="1"/>
  <c r="EI88" i="1"/>
  <c r="EP87" i="1"/>
  <c r="FT83" i="1"/>
  <c r="GA83" i="1"/>
  <c r="GG83" i="1" s="1"/>
  <c r="FS83" i="1" s="1"/>
  <c r="FO83" i="1" s="1"/>
  <c r="FL83" i="1" s="1"/>
  <c r="FK83" i="1" s="1"/>
  <c r="FV83" i="1"/>
  <c r="FW83" i="1"/>
  <c r="FY83" i="1"/>
  <c r="FZ82" i="1"/>
  <c r="GB82" i="1"/>
  <c r="GC82" i="1" s="1"/>
  <c r="GD82" i="1"/>
  <c r="GE82" i="1" s="1"/>
  <c r="FX82" i="1"/>
  <c r="GF82" i="1"/>
  <c r="CO84" i="1"/>
  <c r="CU84" i="1" s="1"/>
  <c r="CH84" i="1"/>
  <c r="CK84" i="1"/>
  <c r="CM84" i="1"/>
  <c r="CJ84" i="1"/>
  <c r="DW82" i="1"/>
  <c r="DX82" i="1" s="1"/>
  <c r="DU82" i="1"/>
  <c r="DV82" i="1" s="1"/>
  <c r="DQ82" i="1"/>
  <c r="DS82" i="1"/>
  <c r="DY82" i="1"/>
  <c r="DL82" i="1"/>
  <c r="DH82" i="1" s="1"/>
  <c r="DE82" i="1" s="1"/>
  <c r="DD82" i="1" s="1"/>
  <c r="CG83" i="1"/>
  <c r="CC83" i="1" s="1"/>
  <c r="BZ83" i="1" s="1"/>
  <c r="BY83" i="1" s="1"/>
  <c r="CR83" i="1"/>
  <c r="CS83" i="1" s="1"/>
  <c r="CL83" i="1"/>
  <c r="CN83" i="1"/>
  <c r="CT83" i="1"/>
  <c r="CP83" i="1"/>
  <c r="CQ83" i="1" s="1"/>
  <c r="CB86" i="1"/>
  <c r="CE85" i="1"/>
  <c r="CI85" i="1"/>
  <c r="DT83" i="1"/>
  <c r="DZ83" i="1" s="1"/>
  <c r="DO83" i="1"/>
  <c r="DP83" i="1"/>
  <c r="DR83" i="1"/>
  <c r="DM83" i="1"/>
  <c r="FN85" i="1"/>
  <c r="FQ84" i="1"/>
  <c r="FU84" i="1"/>
  <c r="EV86" i="1"/>
  <c r="FB86" i="1" s="1"/>
  <c r="EQ86" i="1"/>
  <c r="ER86" i="1"/>
  <c r="ET86" i="1"/>
  <c r="EO86" i="1"/>
  <c r="GA204" i="1" l="1"/>
  <c r="GG204" i="1" s="1"/>
  <c r="FS204" i="1" s="1"/>
  <c r="FO204" i="1" s="1"/>
  <c r="FL204" i="1" s="1"/>
  <c r="FK204" i="1" s="1"/>
  <c r="FW204" i="1"/>
  <c r="FV204" i="1"/>
  <c r="FY204" i="1"/>
  <c r="FT204" i="1"/>
  <c r="FV326" i="1"/>
  <c r="FW326" i="1"/>
  <c r="FY326" i="1"/>
  <c r="FT326" i="1"/>
  <c r="GA326" i="1"/>
  <c r="GG326" i="1" s="1"/>
  <c r="FS326" i="1" s="1"/>
  <c r="FO326" i="1" s="1"/>
  <c r="FL326" i="1" s="1"/>
  <c r="FK326" i="1" s="1"/>
  <c r="DY203" i="1"/>
  <c r="DQ203" i="1"/>
  <c r="DS203" i="1"/>
  <c r="DL203" i="1"/>
  <c r="DH203" i="1" s="1"/>
  <c r="DE203" i="1" s="1"/>
  <c r="DD203" i="1" s="1"/>
  <c r="DU203" i="1"/>
  <c r="DV203" i="1" s="1"/>
  <c r="DW203" i="1"/>
  <c r="DX203" i="1" s="1"/>
  <c r="DU324" i="1"/>
  <c r="DV324" i="1" s="1"/>
  <c r="DL324" i="1"/>
  <c r="DH324" i="1" s="1"/>
  <c r="DE324" i="1" s="1"/>
  <c r="DD324" i="1" s="1"/>
  <c r="DW324" i="1"/>
  <c r="DX324" i="1" s="1"/>
  <c r="DY324" i="1"/>
  <c r="DQ324" i="1"/>
  <c r="DS324" i="1"/>
  <c r="GF325" i="1"/>
  <c r="GD325" i="1"/>
  <c r="GE325" i="1" s="1"/>
  <c r="FX325" i="1"/>
  <c r="GB325" i="1"/>
  <c r="GC325" i="1" s="1"/>
  <c r="FZ325" i="1"/>
  <c r="DJ326" i="1"/>
  <c r="DN326" i="1"/>
  <c r="FQ327" i="1"/>
  <c r="FU327" i="1"/>
  <c r="FZ203" i="1"/>
  <c r="FX203" i="1"/>
  <c r="GF203" i="1"/>
  <c r="GB203" i="1"/>
  <c r="GC203" i="1" s="1"/>
  <c r="GD203" i="1"/>
  <c r="GE203" i="1" s="1"/>
  <c r="DP204" i="1"/>
  <c r="DR204" i="1"/>
  <c r="DT204" i="1"/>
  <c r="DZ204" i="1" s="1"/>
  <c r="DM204" i="1"/>
  <c r="DO204" i="1"/>
  <c r="DO325" i="1"/>
  <c r="DP325" i="1"/>
  <c r="DR325" i="1"/>
  <c r="DM325" i="1"/>
  <c r="DT325" i="1"/>
  <c r="DZ325" i="1" s="1"/>
  <c r="FQ205" i="1"/>
  <c r="FU205" i="1"/>
  <c r="FN206" i="1"/>
  <c r="DG206" i="1"/>
  <c r="DJ205" i="1"/>
  <c r="DN205" i="1"/>
  <c r="FN328" i="1"/>
  <c r="DG327" i="1"/>
  <c r="EV327" i="1"/>
  <c r="FB327" i="1" s="1"/>
  <c r="ER327" i="1"/>
  <c r="EQ327" i="1"/>
  <c r="ET327" i="1"/>
  <c r="EO327" i="1"/>
  <c r="EN326" i="1"/>
  <c r="EJ326" i="1" s="1"/>
  <c r="EG326" i="1" s="1"/>
  <c r="EF326" i="1" s="1"/>
  <c r="EU326" i="1"/>
  <c r="ES326" i="1"/>
  <c r="FA326" i="1"/>
  <c r="EY326" i="1"/>
  <c r="EZ326" i="1" s="1"/>
  <c r="EW326" i="1"/>
  <c r="EX326" i="1" s="1"/>
  <c r="EI329" i="1"/>
  <c r="EP328" i="1"/>
  <c r="EL328" i="1"/>
  <c r="CP326" i="1"/>
  <c r="CQ326" i="1" s="1"/>
  <c r="CG326" i="1"/>
  <c r="CC326" i="1" s="1"/>
  <c r="BZ326" i="1" s="1"/>
  <c r="BY326" i="1" s="1"/>
  <c r="CT326" i="1"/>
  <c r="CR326" i="1"/>
  <c r="CS326" i="1" s="1"/>
  <c r="CL326" i="1"/>
  <c r="CN326" i="1"/>
  <c r="CI328" i="1"/>
  <c r="CE328" i="1"/>
  <c r="CB329" i="1"/>
  <c r="CM327" i="1"/>
  <c r="CK327" i="1"/>
  <c r="CJ327" i="1"/>
  <c r="CH327" i="1"/>
  <c r="CO327" i="1"/>
  <c r="CU327" i="1" s="1"/>
  <c r="CG207" i="1"/>
  <c r="CC207" i="1" s="1"/>
  <c r="BZ207" i="1" s="1"/>
  <c r="BY207" i="1" s="1"/>
  <c r="CT207" i="1"/>
  <c r="CL207" i="1"/>
  <c r="CR207" i="1"/>
  <c r="CS207" i="1" s="1"/>
  <c r="CP207" i="1"/>
  <c r="CQ207" i="1" s="1"/>
  <c r="CN207" i="1"/>
  <c r="EN206" i="1"/>
  <c r="EJ206" i="1" s="1"/>
  <c r="EG206" i="1" s="1"/>
  <c r="EF206" i="1" s="1"/>
  <c r="EU206" i="1"/>
  <c r="FA206" i="1"/>
  <c r="ES206" i="1"/>
  <c r="EY206" i="1"/>
  <c r="EZ206" i="1" s="1"/>
  <c r="EW206" i="1"/>
  <c r="EX206" i="1" s="1"/>
  <c r="ER207" i="1"/>
  <c r="EV207" i="1"/>
  <c r="FB207" i="1" s="1"/>
  <c r="EQ207" i="1"/>
  <c r="EO207" i="1"/>
  <c r="ET207" i="1"/>
  <c r="CI209" i="1"/>
  <c r="CB210" i="1"/>
  <c r="CE209" i="1"/>
  <c r="EI209" i="1"/>
  <c r="EP208" i="1"/>
  <c r="EL208" i="1"/>
  <c r="CO208" i="1"/>
  <c r="CU208" i="1" s="1"/>
  <c r="CM208" i="1"/>
  <c r="CK208" i="1"/>
  <c r="CJ208" i="1"/>
  <c r="CH208" i="1"/>
  <c r="FN86" i="1"/>
  <c r="FQ85" i="1"/>
  <c r="FU85" i="1"/>
  <c r="CE86" i="1"/>
  <c r="CB87" i="1"/>
  <c r="CI86" i="1"/>
  <c r="CT84" i="1"/>
  <c r="CN84" i="1"/>
  <c r="CR84" i="1"/>
  <c r="CS84" i="1" s="1"/>
  <c r="CL84" i="1"/>
  <c r="CP84" i="1"/>
  <c r="CQ84" i="1" s="1"/>
  <c r="CG84" i="1"/>
  <c r="CC84" i="1" s="1"/>
  <c r="BZ84" i="1" s="1"/>
  <c r="BY84" i="1" s="1"/>
  <c r="GF83" i="1"/>
  <c r="FZ83" i="1"/>
  <c r="GB83" i="1"/>
  <c r="GC83" i="1" s="1"/>
  <c r="GD83" i="1"/>
  <c r="GE83" i="1" s="1"/>
  <c r="FX83" i="1"/>
  <c r="ES86" i="1"/>
  <c r="FA86" i="1"/>
  <c r="EN86" i="1"/>
  <c r="EJ86" i="1" s="1"/>
  <c r="EG86" i="1" s="1"/>
  <c r="EF86" i="1" s="1"/>
  <c r="EW86" i="1"/>
  <c r="EX86" i="1" s="1"/>
  <c r="EU86" i="1"/>
  <c r="EY86" i="1"/>
  <c r="EZ86" i="1" s="1"/>
  <c r="ER87" i="1"/>
  <c r="EQ87" i="1"/>
  <c r="ET87" i="1"/>
  <c r="EO87" i="1"/>
  <c r="EV87" i="1"/>
  <c r="FB87" i="1" s="1"/>
  <c r="EL88" i="1"/>
  <c r="EI89" i="1"/>
  <c r="EP88" i="1"/>
  <c r="DM84" i="1"/>
  <c r="DO84" i="1"/>
  <c r="DP84" i="1"/>
  <c r="DR84" i="1"/>
  <c r="DT84" i="1"/>
  <c r="DZ84" i="1" s="1"/>
  <c r="DW83" i="1"/>
  <c r="DX83" i="1" s="1"/>
  <c r="DU83" i="1"/>
  <c r="DV83" i="1" s="1"/>
  <c r="DQ83" i="1"/>
  <c r="DS83" i="1"/>
  <c r="DY83" i="1"/>
  <c r="DL83" i="1"/>
  <c r="DH83" i="1" s="1"/>
  <c r="DE83" i="1" s="1"/>
  <c r="DD83" i="1" s="1"/>
  <c r="CJ85" i="1"/>
  <c r="CK85" i="1"/>
  <c r="CM85" i="1"/>
  <c r="CO85" i="1"/>
  <c r="CU85" i="1" s="1"/>
  <c r="CH85" i="1"/>
  <c r="FY84" i="1"/>
  <c r="FT84" i="1"/>
  <c r="GA84" i="1"/>
  <c r="GG84" i="1" s="1"/>
  <c r="FS84" i="1" s="1"/>
  <c r="FO84" i="1" s="1"/>
  <c r="FL84" i="1" s="1"/>
  <c r="FK84" i="1" s="1"/>
  <c r="FV84" i="1"/>
  <c r="FW84" i="1"/>
  <c r="DJ85" i="1"/>
  <c r="DG86" i="1"/>
  <c r="DN85" i="1"/>
  <c r="FW205" i="1" l="1"/>
  <c r="FT205" i="1"/>
  <c r="FV205" i="1"/>
  <c r="FY205" i="1"/>
  <c r="GA205" i="1"/>
  <c r="GG205" i="1" s="1"/>
  <c r="FS205" i="1" s="1"/>
  <c r="FO205" i="1" s="1"/>
  <c r="FL205" i="1" s="1"/>
  <c r="FK205" i="1" s="1"/>
  <c r="DU204" i="1"/>
  <c r="DV204" i="1" s="1"/>
  <c r="DW204" i="1"/>
  <c r="DX204" i="1" s="1"/>
  <c r="DY204" i="1"/>
  <c r="DQ204" i="1"/>
  <c r="DS204" i="1"/>
  <c r="DL204" i="1"/>
  <c r="DH204" i="1" s="1"/>
  <c r="DE204" i="1" s="1"/>
  <c r="DD204" i="1" s="1"/>
  <c r="DJ327" i="1"/>
  <c r="DN327" i="1"/>
  <c r="DW325" i="1"/>
  <c r="DX325" i="1" s="1"/>
  <c r="DQ325" i="1"/>
  <c r="DU325" i="1"/>
  <c r="DV325" i="1" s="1"/>
  <c r="DY325" i="1"/>
  <c r="DL325" i="1"/>
  <c r="DH325" i="1" s="1"/>
  <c r="DE325" i="1" s="1"/>
  <c r="DD325" i="1" s="1"/>
  <c r="DS325" i="1"/>
  <c r="DM326" i="1"/>
  <c r="DO326" i="1"/>
  <c r="DP326" i="1"/>
  <c r="DR326" i="1"/>
  <c r="DT326" i="1"/>
  <c r="DZ326" i="1" s="1"/>
  <c r="FZ204" i="1"/>
  <c r="GB204" i="1"/>
  <c r="GC204" i="1" s="1"/>
  <c r="GD204" i="1"/>
  <c r="GE204" i="1" s="1"/>
  <c r="FX204" i="1"/>
  <c r="GF204" i="1"/>
  <c r="DM205" i="1"/>
  <c r="DP205" i="1"/>
  <c r="DR205" i="1"/>
  <c r="DT205" i="1"/>
  <c r="DZ205" i="1" s="1"/>
  <c r="DO205" i="1"/>
  <c r="FT327" i="1"/>
  <c r="FV327" i="1"/>
  <c r="FW327" i="1"/>
  <c r="FY327" i="1"/>
  <c r="GA327" i="1"/>
  <c r="GG327" i="1" s="1"/>
  <c r="FS327" i="1" s="1"/>
  <c r="FO327" i="1" s="1"/>
  <c r="FL327" i="1" s="1"/>
  <c r="FK327" i="1" s="1"/>
  <c r="FQ328" i="1"/>
  <c r="FU328" i="1"/>
  <c r="DG207" i="1"/>
  <c r="DJ206" i="1"/>
  <c r="DN206" i="1"/>
  <c r="FQ206" i="1"/>
  <c r="FU206" i="1"/>
  <c r="FN207" i="1"/>
  <c r="GD326" i="1"/>
  <c r="GE326" i="1" s="1"/>
  <c r="FX326" i="1"/>
  <c r="GB326" i="1"/>
  <c r="GC326" i="1" s="1"/>
  <c r="GF326" i="1"/>
  <c r="FZ326" i="1"/>
  <c r="ER328" i="1"/>
  <c r="EV328" i="1"/>
  <c r="FB328" i="1" s="1"/>
  <c r="EQ328" i="1"/>
  <c r="ET328" i="1"/>
  <c r="EO328" i="1"/>
  <c r="EN327" i="1"/>
  <c r="EJ327" i="1" s="1"/>
  <c r="EG327" i="1" s="1"/>
  <c r="EF327" i="1" s="1"/>
  <c r="EU327" i="1"/>
  <c r="ES327" i="1"/>
  <c r="FA327" i="1"/>
  <c r="EY327" i="1"/>
  <c r="EZ327" i="1" s="1"/>
  <c r="EW327" i="1"/>
  <c r="EX327" i="1" s="1"/>
  <c r="EI330" i="1"/>
  <c r="EL329" i="1"/>
  <c r="EP329" i="1"/>
  <c r="CI329" i="1"/>
  <c r="CE329" i="1"/>
  <c r="CB330" i="1"/>
  <c r="CN327" i="1"/>
  <c r="CT327" i="1"/>
  <c r="CP327" i="1"/>
  <c r="CQ327" i="1" s="1"/>
  <c r="CR327" i="1"/>
  <c r="CS327" i="1" s="1"/>
  <c r="CL327" i="1"/>
  <c r="CG327" i="1"/>
  <c r="CC327" i="1" s="1"/>
  <c r="BZ327" i="1" s="1"/>
  <c r="BY327" i="1" s="1"/>
  <c r="FN329" i="1"/>
  <c r="CM328" i="1"/>
  <c r="CK328" i="1"/>
  <c r="CJ328" i="1"/>
  <c r="CH328" i="1"/>
  <c r="CO328" i="1"/>
  <c r="CU328" i="1" s="1"/>
  <c r="DG328" i="1"/>
  <c r="EP209" i="1"/>
  <c r="EI210" i="1"/>
  <c r="EL209" i="1"/>
  <c r="CM209" i="1"/>
  <c r="CK209" i="1"/>
  <c r="CJ209" i="1"/>
  <c r="CO209" i="1"/>
  <c r="CU209" i="1" s="1"/>
  <c r="CH209" i="1"/>
  <c r="CI210" i="1"/>
  <c r="CB211" i="1"/>
  <c r="CE210" i="1"/>
  <c r="EU207" i="1"/>
  <c r="ES207" i="1"/>
  <c r="FA207" i="1"/>
  <c r="EY207" i="1"/>
  <c r="EZ207" i="1" s="1"/>
  <c r="EN207" i="1"/>
  <c r="EJ207" i="1" s="1"/>
  <c r="EG207" i="1" s="1"/>
  <c r="EF207" i="1" s="1"/>
  <c r="EW207" i="1"/>
  <c r="EX207" i="1" s="1"/>
  <c r="CG208" i="1"/>
  <c r="CC208" i="1" s="1"/>
  <c r="BZ208" i="1" s="1"/>
  <c r="BY208" i="1" s="1"/>
  <c r="CP208" i="1"/>
  <c r="CQ208" i="1" s="1"/>
  <c r="CN208" i="1"/>
  <c r="CL208" i="1"/>
  <c r="CT208" i="1"/>
  <c r="CR208" i="1"/>
  <c r="CS208" i="1" s="1"/>
  <c r="EV208" i="1"/>
  <c r="FB208" i="1" s="1"/>
  <c r="ET208" i="1"/>
  <c r="ER208" i="1"/>
  <c r="EQ208" i="1"/>
  <c r="EO208" i="1"/>
  <c r="DW84" i="1"/>
  <c r="DX84" i="1" s="1"/>
  <c r="DS84" i="1"/>
  <c r="DQ84" i="1"/>
  <c r="DY84" i="1"/>
  <c r="DL84" i="1"/>
  <c r="DH84" i="1" s="1"/>
  <c r="DE84" i="1" s="1"/>
  <c r="DD84" i="1" s="1"/>
  <c r="DU84" i="1"/>
  <c r="DV84" i="1" s="1"/>
  <c r="EO88" i="1"/>
  <c r="EV88" i="1"/>
  <c r="FB88" i="1" s="1"/>
  <c r="EQ88" i="1"/>
  <c r="ER88" i="1"/>
  <c r="ET88" i="1"/>
  <c r="CK86" i="1"/>
  <c r="CO86" i="1"/>
  <c r="CU86" i="1" s="1"/>
  <c r="CH86" i="1"/>
  <c r="CJ86" i="1"/>
  <c r="CM86" i="1"/>
  <c r="CN85" i="1"/>
  <c r="CP85" i="1"/>
  <c r="CQ85" i="1" s="1"/>
  <c r="CG85" i="1"/>
  <c r="CC85" i="1" s="1"/>
  <c r="BZ85" i="1" s="1"/>
  <c r="BY85" i="1" s="1"/>
  <c r="CR85" i="1"/>
  <c r="CS85" i="1" s="1"/>
  <c r="CT85" i="1"/>
  <c r="CL85" i="1"/>
  <c r="EI90" i="1"/>
  <c r="EL89" i="1"/>
  <c r="EP89" i="1"/>
  <c r="CB88" i="1"/>
  <c r="CE87" i="1"/>
  <c r="CI87" i="1"/>
  <c r="EY87" i="1"/>
  <c r="EZ87" i="1" s="1"/>
  <c r="ES87" i="1"/>
  <c r="FA87" i="1"/>
  <c r="EN87" i="1"/>
  <c r="EJ87" i="1" s="1"/>
  <c r="EG87" i="1" s="1"/>
  <c r="EF87" i="1" s="1"/>
  <c r="EW87" i="1"/>
  <c r="EX87" i="1" s="1"/>
  <c r="EU87" i="1"/>
  <c r="FY85" i="1"/>
  <c r="GA85" i="1"/>
  <c r="GG85" i="1" s="1"/>
  <c r="FS85" i="1" s="1"/>
  <c r="FO85" i="1" s="1"/>
  <c r="FL85" i="1" s="1"/>
  <c r="FK85" i="1" s="1"/>
  <c r="FT85" i="1"/>
  <c r="FV85" i="1"/>
  <c r="FW85" i="1"/>
  <c r="DO85" i="1"/>
  <c r="DP85" i="1"/>
  <c r="DR85" i="1"/>
  <c r="DT85" i="1"/>
  <c r="DZ85" i="1" s="1"/>
  <c r="DM85" i="1"/>
  <c r="DJ86" i="1"/>
  <c r="DG87" i="1"/>
  <c r="DN86" i="1"/>
  <c r="GB84" i="1"/>
  <c r="GC84" i="1" s="1"/>
  <c r="GD84" i="1"/>
  <c r="GE84" i="1" s="1"/>
  <c r="FZ84" i="1"/>
  <c r="FX84" i="1"/>
  <c r="GF84" i="1"/>
  <c r="FN87" i="1"/>
  <c r="FQ86" i="1"/>
  <c r="FU86" i="1"/>
  <c r="FQ207" i="1" l="1"/>
  <c r="FU207" i="1"/>
  <c r="FN208" i="1"/>
  <c r="FV206" i="1"/>
  <c r="FW206" i="1"/>
  <c r="FY206" i="1"/>
  <c r="FT206" i="1"/>
  <c r="GA206" i="1"/>
  <c r="GG206" i="1" s="1"/>
  <c r="FS206" i="1" s="1"/>
  <c r="FO206" i="1" s="1"/>
  <c r="FL206" i="1" s="1"/>
  <c r="FK206" i="1" s="1"/>
  <c r="DU205" i="1"/>
  <c r="DV205" i="1" s="1"/>
  <c r="DW205" i="1"/>
  <c r="DX205" i="1" s="1"/>
  <c r="DY205" i="1"/>
  <c r="DQ205" i="1"/>
  <c r="DS205" i="1"/>
  <c r="DL205" i="1"/>
  <c r="DH205" i="1" s="1"/>
  <c r="DE205" i="1" s="1"/>
  <c r="DD205" i="1" s="1"/>
  <c r="DT327" i="1"/>
  <c r="DZ327" i="1" s="1"/>
  <c r="DO327" i="1"/>
  <c r="DR327" i="1"/>
  <c r="DM327" i="1"/>
  <c r="DP327" i="1"/>
  <c r="DM206" i="1"/>
  <c r="DT206" i="1"/>
  <c r="DZ206" i="1" s="1"/>
  <c r="DO206" i="1"/>
  <c r="DP206" i="1"/>
  <c r="DR206" i="1"/>
  <c r="DL326" i="1"/>
  <c r="DH326" i="1" s="1"/>
  <c r="DE326" i="1" s="1"/>
  <c r="DD326" i="1" s="1"/>
  <c r="DU326" i="1"/>
  <c r="DV326" i="1" s="1"/>
  <c r="DW326" i="1"/>
  <c r="DX326" i="1" s="1"/>
  <c r="DQ326" i="1"/>
  <c r="DY326" i="1"/>
  <c r="DS326" i="1"/>
  <c r="FQ329" i="1"/>
  <c r="FU329" i="1"/>
  <c r="GD327" i="1"/>
  <c r="GE327" i="1" s="1"/>
  <c r="GB327" i="1"/>
  <c r="GC327" i="1" s="1"/>
  <c r="GF327" i="1"/>
  <c r="FX327" i="1"/>
  <c r="FZ327" i="1"/>
  <c r="DJ328" i="1"/>
  <c r="DN328" i="1"/>
  <c r="DG208" i="1"/>
  <c r="DJ207" i="1"/>
  <c r="DN207" i="1"/>
  <c r="GD205" i="1"/>
  <c r="GE205" i="1" s="1"/>
  <c r="GB205" i="1"/>
  <c r="GC205" i="1" s="1"/>
  <c r="FX205" i="1"/>
  <c r="GF205" i="1"/>
  <c r="FZ205" i="1"/>
  <c r="FV328" i="1"/>
  <c r="FY328" i="1"/>
  <c r="FW328" i="1"/>
  <c r="FT328" i="1"/>
  <c r="GA328" i="1"/>
  <c r="GG328" i="1" s="1"/>
  <c r="FS328" i="1" s="1"/>
  <c r="FO328" i="1" s="1"/>
  <c r="FL328" i="1" s="1"/>
  <c r="FK328" i="1" s="1"/>
  <c r="CN328" i="1"/>
  <c r="CT328" i="1"/>
  <c r="CP328" i="1"/>
  <c r="CQ328" i="1" s="1"/>
  <c r="CR328" i="1"/>
  <c r="CS328" i="1" s="1"/>
  <c r="CL328" i="1"/>
  <c r="CG328" i="1"/>
  <c r="CC328" i="1" s="1"/>
  <c r="BZ328" i="1" s="1"/>
  <c r="BY328" i="1" s="1"/>
  <c r="DG329" i="1"/>
  <c r="EI331" i="1"/>
  <c r="EP330" i="1"/>
  <c r="EL330" i="1"/>
  <c r="CI330" i="1"/>
  <c r="CB331" i="1"/>
  <c r="CE330" i="1"/>
  <c r="EN328" i="1"/>
  <c r="EJ328" i="1" s="1"/>
  <c r="EG328" i="1" s="1"/>
  <c r="EF328" i="1" s="1"/>
  <c r="EU328" i="1"/>
  <c r="ES328" i="1"/>
  <c r="FA328" i="1"/>
  <c r="EY328" i="1"/>
  <c r="EZ328" i="1" s="1"/>
  <c r="EW328" i="1"/>
  <c r="EX328" i="1" s="1"/>
  <c r="FN330" i="1"/>
  <c r="CM329" i="1"/>
  <c r="CK329" i="1"/>
  <c r="CJ329" i="1"/>
  <c r="CH329" i="1"/>
  <c r="CO329" i="1"/>
  <c r="CU329" i="1" s="1"/>
  <c r="EV329" i="1"/>
  <c r="FB329" i="1" s="1"/>
  <c r="ER329" i="1"/>
  <c r="ET329" i="1"/>
  <c r="EQ329" i="1"/>
  <c r="EO329" i="1"/>
  <c r="EN208" i="1"/>
  <c r="EJ208" i="1" s="1"/>
  <c r="EG208" i="1" s="1"/>
  <c r="EF208" i="1" s="1"/>
  <c r="FA208" i="1"/>
  <c r="ES208" i="1"/>
  <c r="EU208" i="1"/>
  <c r="EY208" i="1"/>
  <c r="EZ208" i="1" s="1"/>
  <c r="EW208" i="1"/>
  <c r="EX208" i="1" s="1"/>
  <c r="CO210" i="1"/>
  <c r="CU210" i="1" s="1"/>
  <c r="CM210" i="1"/>
  <c r="CK210" i="1"/>
  <c r="CJ210" i="1"/>
  <c r="CH210" i="1"/>
  <c r="CI211" i="1"/>
  <c r="CB212" i="1"/>
  <c r="CE211" i="1"/>
  <c r="CR209" i="1"/>
  <c r="CS209" i="1" s="1"/>
  <c r="CG209" i="1"/>
  <c r="CC209" i="1" s="1"/>
  <c r="BZ209" i="1" s="1"/>
  <c r="BY209" i="1" s="1"/>
  <c r="CL209" i="1"/>
  <c r="CT209" i="1"/>
  <c r="CP209" i="1"/>
  <c r="CQ209" i="1" s="1"/>
  <c r="CN209" i="1"/>
  <c r="EI211" i="1"/>
  <c r="EP210" i="1"/>
  <c r="EL210" i="1"/>
  <c r="ER209" i="1"/>
  <c r="EO209" i="1"/>
  <c r="EV209" i="1"/>
  <c r="FB209" i="1" s="1"/>
  <c r="ET209" i="1"/>
  <c r="EQ209" i="1"/>
  <c r="EI91" i="1"/>
  <c r="EL90" i="1"/>
  <c r="EP90" i="1"/>
  <c r="EU88" i="1"/>
  <c r="ES88" i="1"/>
  <c r="FA88" i="1"/>
  <c r="EN88" i="1"/>
  <c r="EJ88" i="1" s="1"/>
  <c r="EG88" i="1" s="1"/>
  <c r="EF88" i="1" s="1"/>
  <c r="EW88" i="1"/>
  <c r="EX88" i="1" s="1"/>
  <c r="EY88" i="1"/>
  <c r="EZ88" i="1" s="1"/>
  <c r="DJ87" i="1"/>
  <c r="DG88" i="1"/>
  <c r="DN87" i="1"/>
  <c r="CR86" i="1"/>
  <c r="CS86" i="1" s="1"/>
  <c r="CL86" i="1"/>
  <c r="CT86" i="1"/>
  <c r="CN86" i="1"/>
  <c r="CP86" i="1"/>
  <c r="CQ86" i="1" s="1"/>
  <c r="CG86" i="1"/>
  <c r="CC86" i="1" s="1"/>
  <c r="BZ86" i="1" s="1"/>
  <c r="BY86" i="1" s="1"/>
  <c r="CH87" i="1"/>
  <c r="CJ87" i="1"/>
  <c r="CK87" i="1"/>
  <c r="CM87" i="1"/>
  <c r="CO87" i="1"/>
  <c r="CU87" i="1" s="1"/>
  <c r="DS85" i="1"/>
  <c r="DU85" i="1"/>
  <c r="DV85" i="1" s="1"/>
  <c r="DW85" i="1"/>
  <c r="DX85" i="1" s="1"/>
  <c r="DL85" i="1"/>
  <c r="DH85" i="1" s="1"/>
  <c r="DE85" i="1" s="1"/>
  <c r="DD85" i="1" s="1"/>
  <c r="DQ85" i="1"/>
  <c r="DY85" i="1"/>
  <c r="DP86" i="1"/>
  <c r="DR86" i="1"/>
  <c r="DT86" i="1"/>
  <c r="DZ86" i="1" s="1"/>
  <c r="DM86" i="1"/>
  <c r="DO86" i="1"/>
  <c r="GB85" i="1"/>
  <c r="GC85" i="1" s="1"/>
  <c r="GD85" i="1"/>
  <c r="GE85" i="1" s="1"/>
  <c r="FX85" i="1"/>
  <c r="GF85" i="1"/>
  <c r="FZ85" i="1"/>
  <c r="CB89" i="1"/>
  <c r="CE88" i="1"/>
  <c r="CI88" i="1"/>
  <c r="GA86" i="1"/>
  <c r="GG86" i="1" s="1"/>
  <c r="FS86" i="1" s="1"/>
  <c r="FO86" i="1" s="1"/>
  <c r="FL86" i="1" s="1"/>
  <c r="FK86" i="1" s="1"/>
  <c r="FY86" i="1"/>
  <c r="FT86" i="1"/>
  <c r="FV86" i="1"/>
  <c r="FW86" i="1"/>
  <c r="FN88" i="1"/>
  <c r="FQ87" i="1"/>
  <c r="FU87" i="1"/>
  <c r="EO89" i="1"/>
  <c r="EV89" i="1"/>
  <c r="FB89" i="1" s="1"/>
  <c r="ER89" i="1"/>
  <c r="EQ89" i="1"/>
  <c r="ET89" i="1"/>
  <c r="DJ329" i="1" l="1"/>
  <c r="DN329" i="1"/>
  <c r="FQ330" i="1"/>
  <c r="FU330" i="1"/>
  <c r="DP328" i="1"/>
  <c r="DR328" i="1"/>
  <c r="DM328" i="1"/>
  <c r="DO328" i="1"/>
  <c r="DT328" i="1"/>
  <c r="DZ328" i="1" s="1"/>
  <c r="FZ206" i="1"/>
  <c r="GF206" i="1"/>
  <c r="FX206" i="1"/>
  <c r="GB206" i="1"/>
  <c r="GC206" i="1" s="1"/>
  <c r="GD206" i="1"/>
  <c r="GE206" i="1" s="1"/>
  <c r="DG209" i="1"/>
  <c r="DJ208" i="1"/>
  <c r="DN208" i="1"/>
  <c r="DU206" i="1"/>
  <c r="DV206" i="1" s="1"/>
  <c r="DW206" i="1"/>
  <c r="DX206" i="1" s="1"/>
  <c r="DL206" i="1"/>
  <c r="DH206" i="1" s="1"/>
  <c r="DE206" i="1" s="1"/>
  <c r="DD206" i="1" s="1"/>
  <c r="DY206" i="1"/>
  <c r="DS206" i="1"/>
  <c r="DQ206" i="1"/>
  <c r="FT329" i="1"/>
  <c r="FY329" i="1"/>
  <c r="FV329" i="1"/>
  <c r="FW329" i="1"/>
  <c r="GA329" i="1"/>
  <c r="GG329" i="1" s="1"/>
  <c r="FS329" i="1" s="1"/>
  <c r="FO329" i="1" s="1"/>
  <c r="FL329" i="1" s="1"/>
  <c r="FK329" i="1" s="1"/>
  <c r="GB328" i="1"/>
  <c r="GC328" i="1" s="1"/>
  <c r="FX328" i="1"/>
  <c r="GF328" i="1"/>
  <c r="FZ328" i="1"/>
  <c r="GD328" i="1"/>
  <c r="GE328" i="1" s="1"/>
  <c r="FQ208" i="1"/>
  <c r="FU208" i="1"/>
  <c r="FN209" i="1"/>
  <c r="DT207" i="1"/>
  <c r="DZ207" i="1" s="1"/>
  <c r="DM207" i="1"/>
  <c r="DO207" i="1"/>
  <c r="DP207" i="1"/>
  <c r="DR207" i="1"/>
  <c r="DY327" i="1"/>
  <c r="DQ327" i="1"/>
  <c r="DS327" i="1"/>
  <c r="DW327" i="1"/>
  <c r="DX327" i="1" s="1"/>
  <c r="DL327" i="1"/>
  <c r="DH327" i="1" s="1"/>
  <c r="DE327" i="1" s="1"/>
  <c r="DD327" i="1" s="1"/>
  <c r="DU327" i="1"/>
  <c r="DV327" i="1" s="1"/>
  <c r="FW207" i="1"/>
  <c r="FY207" i="1"/>
  <c r="FT207" i="1"/>
  <c r="FV207" i="1"/>
  <c r="GA207" i="1"/>
  <c r="GG207" i="1" s="1"/>
  <c r="FS207" i="1" s="1"/>
  <c r="FO207" i="1" s="1"/>
  <c r="FL207" i="1" s="1"/>
  <c r="FK207" i="1" s="1"/>
  <c r="FN331" i="1"/>
  <c r="CM330" i="1"/>
  <c r="CJ330" i="1"/>
  <c r="CH330" i="1"/>
  <c r="CO330" i="1"/>
  <c r="CU330" i="1" s="1"/>
  <c r="CK330" i="1"/>
  <c r="EI332" i="1"/>
  <c r="EL331" i="1"/>
  <c r="EP331" i="1"/>
  <c r="DG330" i="1"/>
  <c r="CN329" i="1"/>
  <c r="CT329" i="1"/>
  <c r="CP329" i="1"/>
  <c r="CQ329" i="1" s="1"/>
  <c r="CR329" i="1"/>
  <c r="CS329" i="1" s="1"/>
  <c r="CL329" i="1"/>
  <c r="CG329" i="1"/>
  <c r="CC329" i="1" s="1"/>
  <c r="BZ329" i="1" s="1"/>
  <c r="BY329" i="1" s="1"/>
  <c r="EN329" i="1"/>
  <c r="EJ329" i="1" s="1"/>
  <c r="EG329" i="1" s="1"/>
  <c r="EF329" i="1" s="1"/>
  <c r="EU329" i="1"/>
  <c r="EY329" i="1"/>
  <c r="EZ329" i="1" s="1"/>
  <c r="EW329" i="1"/>
  <c r="EX329" i="1" s="1"/>
  <c r="ES329" i="1"/>
  <c r="FA329" i="1"/>
  <c r="CI331" i="1"/>
  <c r="CB332" i="1"/>
  <c r="CE331" i="1"/>
  <c r="ER330" i="1"/>
  <c r="EQ330" i="1"/>
  <c r="EV330" i="1"/>
  <c r="FB330" i="1" s="1"/>
  <c r="ET330" i="1"/>
  <c r="EO330" i="1"/>
  <c r="EV210" i="1"/>
  <c r="FB210" i="1" s="1"/>
  <c r="ET210" i="1"/>
  <c r="ER210" i="1"/>
  <c r="EQ210" i="1"/>
  <c r="EO210" i="1"/>
  <c r="EP211" i="1"/>
  <c r="EI212" i="1"/>
  <c r="EL211" i="1"/>
  <c r="CI212" i="1"/>
  <c r="CB213" i="1"/>
  <c r="CE212" i="1"/>
  <c r="CM211" i="1"/>
  <c r="CK211" i="1"/>
  <c r="CJ211" i="1"/>
  <c r="CO211" i="1"/>
  <c r="CU211" i="1" s="1"/>
  <c r="CH211" i="1"/>
  <c r="EW209" i="1"/>
  <c r="EX209" i="1" s="1"/>
  <c r="EN209" i="1"/>
  <c r="EJ209" i="1" s="1"/>
  <c r="EG209" i="1" s="1"/>
  <c r="EF209" i="1" s="1"/>
  <c r="FA209" i="1"/>
  <c r="EY209" i="1"/>
  <c r="EZ209" i="1" s="1"/>
  <c r="EU209" i="1"/>
  <c r="ES209" i="1"/>
  <c r="CG210" i="1"/>
  <c r="CC210" i="1" s="1"/>
  <c r="BZ210" i="1" s="1"/>
  <c r="BY210" i="1" s="1"/>
  <c r="CN210" i="1"/>
  <c r="CT210" i="1"/>
  <c r="CR210" i="1"/>
  <c r="CS210" i="1" s="1"/>
  <c r="CP210" i="1"/>
  <c r="CQ210" i="1" s="1"/>
  <c r="CL210" i="1"/>
  <c r="GD86" i="1"/>
  <c r="GE86" i="1" s="1"/>
  <c r="GF86" i="1"/>
  <c r="FX86" i="1"/>
  <c r="FZ86" i="1"/>
  <c r="GB86" i="1"/>
  <c r="GC86" i="1" s="1"/>
  <c r="CB90" i="1"/>
  <c r="CE89" i="1"/>
  <c r="CI89" i="1"/>
  <c r="DP87" i="1"/>
  <c r="DM87" i="1"/>
  <c r="DT87" i="1"/>
  <c r="DZ87" i="1" s="1"/>
  <c r="DO87" i="1"/>
  <c r="DR87" i="1"/>
  <c r="CT87" i="1"/>
  <c r="CP87" i="1"/>
  <c r="CQ87" i="1" s="1"/>
  <c r="CL87" i="1"/>
  <c r="CN87" i="1"/>
  <c r="CR87" i="1"/>
  <c r="CS87" i="1" s="1"/>
  <c r="CG87" i="1"/>
  <c r="CC87" i="1" s="1"/>
  <c r="BZ87" i="1" s="1"/>
  <c r="BY87" i="1" s="1"/>
  <c r="DJ88" i="1"/>
  <c r="DG89" i="1"/>
  <c r="DN88" i="1"/>
  <c r="EO90" i="1"/>
  <c r="EQ90" i="1"/>
  <c r="EV90" i="1"/>
  <c r="FB90" i="1" s="1"/>
  <c r="ER90" i="1"/>
  <c r="ET90" i="1"/>
  <c r="FN89" i="1"/>
  <c r="FQ88" i="1"/>
  <c r="FU88" i="1"/>
  <c r="EU89" i="1"/>
  <c r="ES89" i="1"/>
  <c r="FA89" i="1"/>
  <c r="EY89" i="1"/>
  <c r="EZ89" i="1" s="1"/>
  <c r="EN89" i="1"/>
  <c r="EJ89" i="1" s="1"/>
  <c r="EG89" i="1" s="1"/>
  <c r="EF89" i="1" s="1"/>
  <c r="EW89" i="1"/>
  <c r="EX89" i="1" s="1"/>
  <c r="FW87" i="1"/>
  <c r="FY87" i="1"/>
  <c r="FT87" i="1"/>
  <c r="FV87" i="1"/>
  <c r="GA87" i="1"/>
  <c r="GG87" i="1" s="1"/>
  <c r="FS87" i="1" s="1"/>
  <c r="FO87" i="1" s="1"/>
  <c r="FL87" i="1" s="1"/>
  <c r="FK87" i="1" s="1"/>
  <c r="CJ88" i="1"/>
  <c r="CK88" i="1"/>
  <c r="CM88" i="1"/>
  <c r="CO88" i="1"/>
  <c r="CU88" i="1" s="1"/>
  <c r="CH88" i="1"/>
  <c r="DW86" i="1"/>
  <c r="DX86" i="1" s="1"/>
  <c r="DY86" i="1"/>
  <c r="DQ86" i="1"/>
  <c r="DS86" i="1"/>
  <c r="DL86" i="1"/>
  <c r="DH86" i="1" s="1"/>
  <c r="DE86" i="1" s="1"/>
  <c r="DD86" i="1" s="1"/>
  <c r="DU86" i="1"/>
  <c r="DV86" i="1" s="1"/>
  <c r="EL91" i="1"/>
  <c r="EI92" i="1"/>
  <c r="EP91" i="1"/>
  <c r="DY328" i="1" l="1"/>
  <c r="DQ328" i="1"/>
  <c r="DS328" i="1"/>
  <c r="DL328" i="1"/>
  <c r="DH328" i="1" s="1"/>
  <c r="DE328" i="1" s="1"/>
  <c r="DD328" i="1" s="1"/>
  <c r="DU328" i="1"/>
  <c r="DV328" i="1" s="1"/>
  <c r="DW328" i="1"/>
  <c r="DX328" i="1" s="1"/>
  <c r="DS207" i="1"/>
  <c r="DU207" i="1"/>
  <c r="DV207" i="1" s="1"/>
  <c r="DQ207" i="1"/>
  <c r="DW207" i="1"/>
  <c r="DX207" i="1" s="1"/>
  <c r="DL207" i="1"/>
  <c r="DH207" i="1" s="1"/>
  <c r="DE207" i="1" s="1"/>
  <c r="DD207" i="1" s="1"/>
  <c r="DY207" i="1"/>
  <c r="DG210" i="1"/>
  <c r="DJ209" i="1"/>
  <c r="DN209" i="1"/>
  <c r="DJ330" i="1"/>
  <c r="DN330" i="1"/>
  <c r="FX329" i="1"/>
  <c r="GB329" i="1"/>
  <c r="GC329" i="1" s="1"/>
  <c r="GD329" i="1"/>
  <c r="GE329" i="1" s="1"/>
  <c r="GF329" i="1"/>
  <c r="FZ329" i="1"/>
  <c r="FQ209" i="1"/>
  <c r="FU209" i="1"/>
  <c r="FN210" i="1"/>
  <c r="FY330" i="1"/>
  <c r="FW330" i="1"/>
  <c r="FT330" i="1"/>
  <c r="FV330" i="1"/>
  <c r="GA330" i="1"/>
  <c r="GG330" i="1" s="1"/>
  <c r="FS330" i="1" s="1"/>
  <c r="FO330" i="1" s="1"/>
  <c r="FL330" i="1" s="1"/>
  <c r="FK330" i="1" s="1"/>
  <c r="FQ331" i="1"/>
  <c r="FU331" i="1"/>
  <c r="FT208" i="1"/>
  <c r="FV208" i="1"/>
  <c r="FW208" i="1"/>
  <c r="FY208" i="1"/>
  <c r="GA208" i="1"/>
  <c r="GG208" i="1" s="1"/>
  <c r="FS208" i="1" s="1"/>
  <c r="FO208" i="1" s="1"/>
  <c r="FL208" i="1" s="1"/>
  <c r="FK208" i="1" s="1"/>
  <c r="GD207" i="1"/>
  <c r="GE207" i="1" s="1"/>
  <c r="FX207" i="1"/>
  <c r="GB207" i="1"/>
  <c r="GC207" i="1" s="1"/>
  <c r="GF207" i="1"/>
  <c r="FZ207" i="1"/>
  <c r="DR329" i="1"/>
  <c r="DM329" i="1"/>
  <c r="DO329" i="1"/>
  <c r="DP329" i="1"/>
  <c r="DT329" i="1"/>
  <c r="DZ329" i="1" s="1"/>
  <c r="DR208" i="1"/>
  <c r="DO208" i="1"/>
  <c r="DT208" i="1"/>
  <c r="DZ208" i="1" s="1"/>
  <c r="DM208" i="1"/>
  <c r="DP208" i="1"/>
  <c r="CH331" i="1"/>
  <c r="CM331" i="1"/>
  <c r="CO331" i="1"/>
  <c r="CU331" i="1" s="1"/>
  <c r="CJ331" i="1"/>
  <c r="CK331" i="1"/>
  <c r="DG331" i="1"/>
  <c r="EY330" i="1"/>
  <c r="EZ330" i="1" s="1"/>
  <c r="EN330" i="1"/>
  <c r="EJ330" i="1" s="1"/>
  <c r="EG330" i="1" s="1"/>
  <c r="EF330" i="1" s="1"/>
  <c r="ES330" i="1"/>
  <c r="EU330" i="1"/>
  <c r="FA330" i="1"/>
  <c r="EW330" i="1"/>
  <c r="EX330" i="1" s="1"/>
  <c r="CT330" i="1"/>
  <c r="CL330" i="1"/>
  <c r="CN330" i="1"/>
  <c r="CG330" i="1"/>
  <c r="CC330" i="1" s="1"/>
  <c r="BZ330" i="1" s="1"/>
  <c r="BY330" i="1" s="1"/>
  <c r="CP330" i="1"/>
  <c r="CQ330" i="1" s="1"/>
  <c r="CR330" i="1"/>
  <c r="CS330" i="1" s="1"/>
  <c r="EV331" i="1"/>
  <c r="FB331" i="1" s="1"/>
  <c r="ER331" i="1"/>
  <c r="ET331" i="1"/>
  <c r="EO331" i="1"/>
  <c r="EQ331" i="1"/>
  <c r="FN332" i="1"/>
  <c r="CI332" i="1"/>
  <c r="CB333" i="1"/>
  <c r="CE332" i="1"/>
  <c r="EI333" i="1"/>
  <c r="EP332" i="1"/>
  <c r="EL332" i="1"/>
  <c r="CB214" i="1"/>
  <c r="CI213" i="1"/>
  <c r="CE213" i="1"/>
  <c r="CO212" i="1"/>
  <c r="CU212" i="1" s="1"/>
  <c r="CM212" i="1"/>
  <c r="CK212" i="1"/>
  <c r="CJ212" i="1"/>
  <c r="CH212" i="1"/>
  <c r="CR211" i="1"/>
  <c r="CS211" i="1" s="1"/>
  <c r="CG211" i="1"/>
  <c r="CC211" i="1" s="1"/>
  <c r="BZ211" i="1" s="1"/>
  <c r="BY211" i="1" s="1"/>
  <c r="CT211" i="1"/>
  <c r="CP211" i="1"/>
  <c r="CQ211" i="1" s="1"/>
  <c r="CN211" i="1"/>
  <c r="CL211" i="1"/>
  <c r="EN210" i="1"/>
  <c r="EJ210" i="1" s="1"/>
  <c r="EG210" i="1" s="1"/>
  <c r="EF210" i="1" s="1"/>
  <c r="FA210" i="1"/>
  <c r="ES210" i="1"/>
  <c r="EY210" i="1"/>
  <c r="EZ210" i="1" s="1"/>
  <c r="EW210" i="1"/>
  <c r="EX210" i="1" s="1"/>
  <c r="EU210" i="1"/>
  <c r="EI213" i="1"/>
  <c r="EP212" i="1"/>
  <c r="EL212" i="1"/>
  <c r="ER211" i="1"/>
  <c r="EO211" i="1"/>
  <c r="EV211" i="1"/>
  <c r="FB211" i="1" s="1"/>
  <c r="ET211" i="1"/>
  <c r="EQ211" i="1"/>
  <c r="CK89" i="1"/>
  <c r="CM89" i="1"/>
  <c r="CO89" i="1"/>
  <c r="CU89" i="1" s="1"/>
  <c r="CH89" i="1"/>
  <c r="CJ89" i="1"/>
  <c r="GB87" i="1"/>
  <c r="GC87" i="1" s="1"/>
  <c r="FX87" i="1"/>
  <c r="GF87" i="1"/>
  <c r="GD87" i="1"/>
  <c r="GE87" i="1" s="1"/>
  <c r="FZ87" i="1"/>
  <c r="EW90" i="1"/>
  <c r="EX90" i="1" s="1"/>
  <c r="EY90" i="1"/>
  <c r="EZ90" i="1" s="1"/>
  <c r="FA90" i="1"/>
  <c r="EU90" i="1"/>
  <c r="ES90" i="1"/>
  <c r="EN90" i="1"/>
  <c r="EJ90" i="1" s="1"/>
  <c r="EG90" i="1" s="1"/>
  <c r="EF90" i="1" s="1"/>
  <c r="CL88" i="1"/>
  <c r="CR88" i="1"/>
  <c r="CS88" i="1" s="1"/>
  <c r="CN88" i="1"/>
  <c r="CT88" i="1"/>
  <c r="CG88" i="1"/>
  <c r="CC88" i="1" s="1"/>
  <c r="BZ88" i="1" s="1"/>
  <c r="BY88" i="1" s="1"/>
  <c r="CP88" i="1"/>
  <c r="CQ88" i="1" s="1"/>
  <c r="FY88" i="1"/>
  <c r="FT88" i="1"/>
  <c r="GA88" i="1"/>
  <c r="GG88" i="1" s="1"/>
  <c r="FS88" i="1" s="1"/>
  <c r="FO88" i="1" s="1"/>
  <c r="FL88" i="1" s="1"/>
  <c r="FK88" i="1" s="1"/>
  <c r="FW88" i="1"/>
  <c r="FV88" i="1"/>
  <c r="DT88" i="1"/>
  <c r="DZ88" i="1" s="1"/>
  <c r="DO88" i="1"/>
  <c r="DM88" i="1"/>
  <c r="DP88" i="1"/>
  <c r="DR88" i="1"/>
  <c r="CB91" i="1"/>
  <c r="CE90" i="1"/>
  <c r="CI90" i="1"/>
  <c r="EI93" i="1"/>
  <c r="EL92" i="1"/>
  <c r="EP92" i="1"/>
  <c r="DG90" i="1"/>
  <c r="DJ89" i="1"/>
  <c r="DN89" i="1"/>
  <c r="FN90" i="1"/>
  <c r="FQ89" i="1"/>
  <c r="FU89" i="1"/>
  <c r="DU87" i="1"/>
  <c r="DV87" i="1" s="1"/>
  <c r="DS87" i="1"/>
  <c r="DW87" i="1"/>
  <c r="DX87" i="1" s="1"/>
  <c r="DY87" i="1"/>
  <c r="DQ87" i="1"/>
  <c r="DL87" i="1"/>
  <c r="DH87" i="1" s="1"/>
  <c r="DE87" i="1" s="1"/>
  <c r="DD87" i="1" s="1"/>
  <c r="EV91" i="1"/>
  <c r="FB91" i="1" s="1"/>
  <c r="EQ91" i="1"/>
  <c r="ET91" i="1"/>
  <c r="EO91" i="1"/>
  <c r="ER91" i="1"/>
  <c r="DO209" i="1" l="1"/>
  <c r="DP209" i="1"/>
  <c r="DR209" i="1"/>
  <c r="DM209" i="1"/>
  <c r="DT209" i="1"/>
  <c r="DZ209" i="1" s="1"/>
  <c r="FY331" i="1"/>
  <c r="FT331" i="1"/>
  <c r="FV331" i="1"/>
  <c r="FW331" i="1"/>
  <c r="GA331" i="1"/>
  <c r="GG331" i="1" s="1"/>
  <c r="FS331" i="1" s="1"/>
  <c r="FO331" i="1" s="1"/>
  <c r="FL331" i="1" s="1"/>
  <c r="FK331" i="1" s="1"/>
  <c r="DG211" i="1"/>
  <c r="DN210" i="1"/>
  <c r="DJ210" i="1"/>
  <c r="DQ329" i="1"/>
  <c r="DY329" i="1"/>
  <c r="DL329" i="1"/>
  <c r="DH329" i="1" s="1"/>
  <c r="DE329" i="1" s="1"/>
  <c r="DD329" i="1" s="1"/>
  <c r="DU329" i="1"/>
  <c r="DV329" i="1" s="1"/>
  <c r="DW329" i="1"/>
  <c r="DX329" i="1" s="1"/>
  <c r="DS329" i="1"/>
  <c r="FX330" i="1"/>
  <c r="GB330" i="1"/>
  <c r="GC330" i="1" s="1"/>
  <c r="GF330" i="1"/>
  <c r="GD330" i="1"/>
  <c r="GE330" i="1" s="1"/>
  <c r="FZ330" i="1"/>
  <c r="DJ331" i="1"/>
  <c r="DN331" i="1"/>
  <c r="FQ332" i="1"/>
  <c r="FU332" i="1"/>
  <c r="DU208" i="1"/>
  <c r="DV208" i="1" s="1"/>
  <c r="DW208" i="1"/>
  <c r="DX208" i="1" s="1"/>
  <c r="DY208" i="1"/>
  <c r="DQ208" i="1"/>
  <c r="DS208" i="1"/>
  <c r="DL208" i="1"/>
  <c r="DH208" i="1" s="1"/>
  <c r="DE208" i="1" s="1"/>
  <c r="DD208" i="1" s="1"/>
  <c r="FY209" i="1"/>
  <c r="FV209" i="1"/>
  <c r="FT209" i="1"/>
  <c r="FW209" i="1"/>
  <c r="GA209" i="1"/>
  <c r="GG209" i="1" s="1"/>
  <c r="FS209" i="1" s="1"/>
  <c r="FO209" i="1" s="1"/>
  <c r="FL209" i="1" s="1"/>
  <c r="FK209" i="1" s="1"/>
  <c r="FX208" i="1"/>
  <c r="GF208" i="1"/>
  <c r="GD208" i="1"/>
  <c r="GE208" i="1" s="1"/>
  <c r="GB208" i="1"/>
  <c r="GC208" i="1" s="1"/>
  <c r="FZ208" i="1"/>
  <c r="FQ210" i="1"/>
  <c r="FU210" i="1"/>
  <c r="FN211" i="1"/>
  <c r="DP330" i="1"/>
  <c r="DO330" i="1"/>
  <c r="DM330" i="1"/>
  <c r="DR330" i="1"/>
  <c r="DT330" i="1"/>
  <c r="DZ330" i="1" s="1"/>
  <c r="EN331" i="1"/>
  <c r="EJ331" i="1" s="1"/>
  <c r="EG331" i="1" s="1"/>
  <c r="EF331" i="1" s="1"/>
  <c r="EU331" i="1"/>
  <c r="ES331" i="1"/>
  <c r="EW331" i="1"/>
  <c r="EX331" i="1" s="1"/>
  <c r="EY331" i="1"/>
  <c r="EZ331" i="1" s="1"/>
  <c r="FA331" i="1"/>
  <c r="CB334" i="1"/>
  <c r="CI333" i="1"/>
  <c r="CE333" i="1"/>
  <c r="ER332" i="1"/>
  <c r="EQ332" i="1"/>
  <c r="EV332" i="1"/>
  <c r="FB332" i="1" s="1"/>
  <c r="ET332" i="1"/>
  <c r="EO332" i="1"/>
  <c r="DG332" i="1"/>
  <c r="EL333" i="1"/>
  <c r="EI334" i="1"/>
  <c r="EP333" i="1"/>
  <c r="FN333" i="1"/>
  <c r="CM332" i="1"/>
  <c r="CH332" i="1"/>
  <c r="CO332" i="1"/>
  <c r="CU332" i="1" s="1"/>
  <c r="CK332" i="1"/>
  <c r="CJ332" i="1"/>
  <c r="CP331" i="1"/>
  <c r="CQ331" i="1" s="1"/>
  <c r="CR331" i="1"/>
  <c r="CS331" i="1" s="1"/>
  <c r="CN331" i="1"/>
  <c r="CL331" i="1"/>
  <c r="CT331" i="1"/>
  <c r="CG331" i="1"/>
  <c r="CC331" i="1" s="1"/>
  <c r="BZ331" i="1" s="1"/>
  <c r="BY331" i="1" s="1"/>
  <c r="CG212" i="1"/>
  <c r="CC212" i="1" s="1"/>
  <c r="BZ212" i="1" s="1"/>
  <c r="BY212" i="1" s="1"/>
  <c r="CN212" i="1"/>
  <c r="CP212" i="1"/>
  <c r="CQ212" i="1" s="1"/>
  <c r="CL212" i="1"/>
  <c r="CT212" i="1"/>
  <c r="CR212" i="1"/>
  <c r="CS212" i="1" s="1"/>
  <c r="EW211" i="1"/>
  <c r="EX211" i="1" s="1"/>
  <c r="EN211" i="1"/>
  <c r="EJ211" i="1" s="1"/>
  <c r="EG211" i="1" s="1"/>
  <c r="EF211" i="1" s="1"/>
  <c r="EY211" i="1"/>
  <c r="EZ211" i="1" s="1"/>
  <c r="EU211" i="1"/>
  <c r="ES211" i="1"/>
  <c r="FA211" i="1"/>
  <c r="EV212" i="1"/>
  <c r="FB212" i="1" s="1"/>
  <c r="ET212" i="1"/>
  <c r="ER212" i="1"/>
  <c r="EQ212" i="1"/>
  <c r="EO212" i="1"/>
  <c r="EI214" i="1"/>
  <c r="EP213" i="1"/>
  <c r="EL213" i="1"/>
  <c r="CM213" i="1"/>
  <c r="CK213" i="1"/>
  <c r="CJ213" i="1"/>
  <c r="CO213" i="1"/>
  <c r="CU213" i="1" s="1"/>
  <c r="CH213" i="1"/>
  <c r="CI214" i="1"/>
  <c r="CB215" i="1"/>
  <c r="CE214" i="1"/>
  <c r="GF88" i="1"/>
  <c r="FX88" i="1"/>
  <c r="GB88" i="1"/>
  <c r="GC88" i="1" s="1"/>
  <c r="GD88" i="1"/>
  <c r="GE88" i="1" s="1"/>
  <c r="FZ88" i="1"/>
  <c r="DG91" i="1"/>
  <c r="DJ90" i="1"/>
  <c r="DN90" i="1"/>
  <c r="ET92" i="1"/>
  <c r="EO92" i="1"/>
  <c r="EV92" i="1"/>
  <c r="FB92" i="1" s="1"/>
  <c r="EQ92" i="1"/>
  <c r="ER92" i="1"/>
  <c r="DQ88" i="1"/>
  <c r="DW88" i="1"/>
  <c r="DX88" i="1" s="1"/>
  <c r="DU88" i="1"/>
  <c r="DV88" i="1" s="1"/>
  <c r="DS88" i="1"/>
  <c r="DL88" i="1"/>
  <c r="DH88" i="1" s="1"/>
  <c r="DE88" i="1" s="1"/>
  <c r="DD88" i="1" s="1"/>
  <c r="DY88" i="1"/>
  <c r="FW89" i="1"/>
  <c r="FV89" i="1"/>
  <c r="FY89" i="1"/>
  <c r="FT89" i="1"/>
  <c r="GA89" i="1"/>
  <c r="GG89" i="1" s="1"/>
  <c r="FS89" i="1" s="1"/>
  <c r="FO89" i="1" s="1"/>
  <c r="FL89" i="1" s="1"/>
  <c r="FK89" i="1" s="1"/>
  <c r="EI94" i="1"/>
  <c r="EL93" i="1"/>
  <c r="EP93" i="1"/>
  <c r="CR89" i="1"/>
  <c r="CS89" i="1" s="1"/>
  <c r="CN89" i="1"/>
  <c r="CG89" i="1"/>
  <c r="CC89" i="1" s="1"/>
  <c r="BZ89" i="1" s="1"/>
  <c r="BY89" i="1" s="1"/>
  <c r="CP89" i="1"/>
  <c r="CQ89" i="1" s="1"/>
  <c r="CL89" i="1"/>
  <c r="CT89" i="1"/>
  <c r="CM90" i="1"/>
  <c r="CO90" i="1"/>
  <c r="CU90" i="1" s="1"/>
  <c r="CH90" i="1"/>
  <c r="CJ90" i="1"/>
  <c r="CK90" i="1"/>
  <c r="EU91" i="1"/>
  <c r="FA91" i="1"/>
  <c r="EN91" i="1"/>
  <c r="EJ91" i="1" s="1"/>
  <c r="EG91" i="1" s="1"/>
  <c r="EF91" i="1" s="1"/>
  <c r="EW91" i="1"/>
  <c r="EX91" i="1" s="1"/>
  <c r="ES91" i="1"/>
  <c r="EY91" i="1"/>
  <c r="EZ91" i="1" s="1"/>
  <c r="FN91" i="1"/>
  <c r="FQ90" i="1"/>
  <c r="FU90" i="1"/>
  <c r="DP89" i="1"/>
  <c r="DO89" i="1"/>
  <c r="DR89" i="1"/>
  <c r="DM89" i="1"/>
  <c r="DT89" i="1"/>
  <c r="DZ89" i="1" s="1"/>
  <c r="CE91" i="1"/>
  <c r="CB92" i="1"/>
  <c r="CI91" i="1"/>
  <c r="FQ211" i="1" l="1"/>
  <c r="FU211" i="1"/>
  <c r="FN212" i="1"/>
  <c r="FX331" i="1"/>
  <c r="GD331" i="1"/>
  <c r="GE331" i="1" s="1"/>
  <c r="GB331" i="1"/>
  <c r="GC331" i="1" s="1"/>
  <c r="GF331" i="1"/>
  <c r="FZ331" i="1"/>
  <c r="FW210" i="1"/>
  <c r="FT210" i="1"/>
  <c r="FY210" i="1"/>
  <c r="FV210" i="1"/>
  <c r="GA210" i="1"/>
  <c r="GG210" i="1" s="1"/>
  <c r="FS210" i="1" s="1"/>
  <c r="FO210" i="1" s="1"/>
  <c r="FL210" i="1" s="1"/>
  <c r="FK210" i="1" s="1"/>
  <c r="FQ333" i="1"/>
  <c r="FU333" i="1"/>
  <c r="GB209" i="1"/>
  <c r="GC209" i="1" s="1"/>
  <c r="FX209" i="1"/>
  <c r="FZ209" i="1"/>
  <c r="GD209" i="1"/>
  <c r="GE209" i="1" s="1"/>
  <c r="GF209" i="1"/>
  <c r="FV332" i="1"/>
  <c r="FT332" i="1"/>
  <c r="FY332" i="1"/>
  <c r="FW332" i="1"/>
  <c r="GA332" i="1"/>
  <c r="GG332" i="1" s="1"/>
  <c r="FS332" i="1" s="1"/>
  <c r="FO332" i="1" s="1"/>
  <c r="FL332" i="1" s="1"/>
  <c r="FK332" i="1" s="1"/>
  <c r="DT210" i="1"/>
  <c r="DZ210" i="1" s="1"/>
  <c r="DR210" i="1"/>
  <c r="DM210" i="1"/>
  <c r="DO210" i="1"/>
  <c r="DP210" i="1"/>
  <c r="DY209" i="1"/>
  <c r="DQ209" i="1"/>
  <c r="DS209" i="1"/>
  <c r="DL209" i="1"/>
  <c r="DH209" i="1" s="1"/>
  <c r="DE209" i="1" s="1"/>
  <c r="DD209" i="1" s="1"/>
  <c r="DU209" i="1"/>
  <c r="DV209" i="1" s="1"/>
  <c r="DW209" i="1"/>
  <c r="DX209" i="1" s="1"/>
  <c r="DG212" i="1"/>
  <c r="DJ211" i="1"/>
  <c r="DN211" i="1"/>
  <c r="DS330" i="1"/>
  <c r="DU330" i="1"/>
  <c r="DV330" i="1" s="1"/>
  <c r="DL330" i="1"/>
  <c r="DH330" i="1" s="1"/>
  <c r="DE330" i="1" s="1"/>
  <c r="DD330" i="1" s="1"/>
  <c r="DW330" i="1"/>
  <c r="DX330" i="1" s="1"/>
  <c r="DQ330" i="1"/>
  <c r="DY330" i="1"/>
  <c r="DO331" i="1"/>
  <c r="DR331" i="1"/>
  <c r="DM331" i="1"/>
  <c r="DP331" i="1"/>
  <c r="DT331" i="1"/>
  <c r="DZ331" i="1" s="1"/>
  <c r="DJ332" i="1"/>
  <c r="DN332" i="1"/>
  <c r="EY332" i="1"/>
  <c r="EZ332" i="1" s="1"/>
  <c r="EN332" i="1"/>
  <c r="EJ332" i="1" s="1"/>
  <c r="EG332" i="1" s="1"/>
  <c r="EF332" i="1" s="1"/>
  <c r="EW332" i="1"/>
  <c r="EX332" i="1" s="1"/>
  <c r="FA332" i="1"/>
  <c r="EU332" i="1"/>
  <c r="ES332" i="1"/>
  <c r="EP334" i="1"/>
  <c r="EL334" i="1"/>
  <c r="EI335" i="1"/>
  <c r="CB335" i="1"/>
  <c r="CE334" i="1"/>
  <c r="CI334" i="1"/>
  <c r="FN334" i="1"/>
  <c r="CT332" i="1"/>
  <c r="CL332" i="1"/>
  <c r="CG332" i="1"/>
  <c r="CC332" i="1" s="1"/>
  <c r="BZ332" i="1" s="1"/>
  <c r="BY332" i="1" s="1"/>
  <c r="CR332" i="1"/>
  <c r="CS332" i="1" s="1"/>
  <c r="CN332" i="1"/>
  <c r="CP332" i="1"/>
  <c r="CQ332" i="1" s="1"/>
  <c r="DG333" i="1"/>
  <c r="CH333" i="1"/>
  <c r="CM333" i="1"/>
  <c r="CK333" i="1"/>
  <c r="CJ333" i="1"/>
  <c r="CO333" i="1"/>
  <c r="CU333" i="1" s="1"/>
  <c r="EV333" i="1"/>
  <c r="FB333" i="1" s="1"/>
  <c r="ER333" i="1"/>
  <c r="EO333" i="1"/>
  <c r="EQ333" i="1"/>
  <c r="ET333" i="1"/>
  <c r="CR213" i="1"/>
  <c r="CS213" i="1" s="1"/>
  <c r="CG213" i="1"/>
  <c r="CC213" i="1" s="1"/>
  <c r="BZ213" i="1" s="1"/>
  <c r="BY213" i="1" s="1"/>
  <c r="CL213" i="1"/>
  <c r="CT213" i="1"/>
  <c r="CP213" i="1"/>
  <c r="CQ213" i="1" s="1"/>
  <c r="CN213" i="1"/>
  <c r="CI215" i="1"/>
  <c r="CB216" i="1"/>
  <c r="CE215" i="1"/>
  <c r="CK214" i="1"/>
  <c r="CO214" i="1"/>
  <c r="CU214" i="1" s="1"/>
  <c r="CH214" i="1"/>
  <c r="CM214" i="1"/>
  <c r="CJ214" i="1"/>
  <c r="ER213" i="1"/>
  <c r="EO213" i="1"/>
  <c r="EV213" i="1"/>
  <c r="FB213" i="1" s="1"/>
  <c r="ET213" i="1"/>
  <c r="EQ213" i="1"/>
  <c r="EP214" i="1"/>
  <c r="EI215" i="1"/>
  <c r="EL214" i="1"/>
  <c r="EN212" i="1"/>
  <c r="EJ212" i="1" s="1"/>
  <c r="EG212" i="1" s="1"/>
  <c r="EF212" i="1" s="1"/>
  <c r="FA212" i="1"/>
  <c r="ES212" i="1"/>
  <c r="EU212" i="1"/>
  <c r="EY212" i="1"/>
  <c r="EZ212" i="1" s="1"/>
  <c r="EW212" i="1"/>
  <c r="EX212" i="1" s="1"/>
  <c r="DT90" i="1"/>
  <c r="DZ90" i="1" s="1"/>
  <c r="DO90" i="1"/>
  <c r="DP90" i="1"/>
  <c r="DR90" i="1"/>
  <c r="DM90" i="1"/>
  <c r="GF89" i="1"/>
  <c r="GB89" i="1"/>
  <c r="GC89" i="1" s="1"/>
  <c r="GD89" i="1"/>
  <c r="GE89" i="1" s="1"/>
  <c r="FX89" i="1"/>
  <c r="FZ89" i="1"/>
  <c r="DG92" i="1"/>
  <c r="DJ91" i="1"/>
  <c r="DN91" i="1"/>
  <c r="CK91" i="1"/>
  <c r="CH91" i="1"/>
  <c r="CJ91" i="1"/>
  <c r="CM91" i="1"/>
  <c r="CO91" i="1"/>
  <c r="CU91" i="1" s="1"/>
  <c r="CB93" i="1"/>
  <c r="CE92" i="1"/>
  <c r="CI92" i="1"/>
  <c r="FN92" i="1"/>
  <c r="FQ91" i="1"/>
  <c r="FU91" i="1"/>
  <c r="CP90" i="1"/>
  <c r="CQ90" i="1" s="1"/>
  <c r="CN90" i="1"/>
  <c r="CG90" i="1"/>
  <c r="CC90" i="1" s="1"/>
  <c r="BZ90" i="1" s="1"/>
  <c r="BY90" i="1" s="1"/>
  <c r="CT90" i="1"/>
  <c r="CR90" i="1"/>
  <c r="CS90" i="1" s="1"/>
  <c r="CL90" i="1"/>
  <c r="ET93" i="1"/>
  <c r="EO93" i="1"/>
  <c r="EV93" i="1"/>
  <c r="FB93" i="1" s="1"/>
  <c r="ER93" i="1"/>
  <c r="EQ93" i="1"/>
  <c r="DQ89" i="1"/>
  <c r="DY89" i="1"/>
  <c r="DS89" i="1"/>
  <c r="DL89" i="1"/>
  <c r="DH89" i="1" s="1"/>
  <c r="DE89" i="1" s="1"/>
  <c r="DD89" i="1" s="1"/>
  <c r="DU89" i="1"/>
  <c r="DV89" i="1" s="1"/>
  <c r="DW89" i="1"/>
  <c r="DX89" i="1" s="1"/>
  <c r="EW92" i="1"/>
  <c r="EX92" i="1" s="1"/>
  <c r="ES92" i="1"/>
  <c r="EU92" i="1"/>
  <c r="EY92" i="1"/>
  <c r="EZ92" i="1" s="1"/>
  <c r="FA92" i="1"/>
  <c r="EN92" i="1"/>
  <c r="EJ92" i="1" s="1"/>
  <c r="EG92" i="1" s="1"/>
  <c r="EF92" i="1" s="1"/>
  <c r="FT90" i="1"/>
  <c r="FV90" i="1"/>
  <c r="FW90" i="1"/>
  <c r="GA90" i="1"/>
  <c r="GG90" i="1" s="1"/>
  <c r="FS90" i="1" s="1"/>
  <c r="FO90" i="1" s="1"/>
  <c r="FL90" i="1" s="1"/>
  <c r="FK90" i="1" s="1"/>
  <c r="FY90" i="1"/>
  <c r="EI95" i="1"/>
  <c r="EL94" i="1"/>
  <c r="EP94" i="1"/>
  <c r="FY333" i="1" l="1"/>
  <c r="FT333" i="1"/>
  <c r="FW333" i="1"/>
  <c r="FV333" i="1"/>
  <c r="GA333" i="1"/>
  <c r="GG333" i="1" s="1"/>
  <c r="FS333" i="1" s="1"/>
  <c r="FO333" i="1" s="1"/>
  <c r="FL333" i="1" s="1"/>
  <c r="FK333" i="1" s="1"/>
  <c r="DJ333" i="1"/>
  <c r="DN333" i="1"/>
  <c r="DU331" i="1"/>
  <c r="DV331" i="1" s="1"/>
  <c r="DQ331" i="1"/>
  <c r="DY331" i="1"/>
  <c r="DL331" i="1"/>
  <c r="DH331" i="1" s="1"/>
  <c r="DE331" i="1" s="1"/>
  <c r="DD331" i="1" s="1"/>
  <c r="DW331" i="1"/>
  <c r="DX331" i="1" s="1"/>
  <c r="DS331" i="1"/>
  <c r="FX332" i="1"/>
  <c r="GF332" i="1"/>
  <c r="GB332" i="1"/>
  <c r="GC332" i="1" s="1"/>
  <c r="GD332" i="1"/>
  <c r="GE332" i="1" s="1"/>
  <c r="FZ332" i="1"/>
  <c r="DG213" i="1"/>
  <c r="DN212" i="1"/>
  <c r="DJ212" i="1"/>
  <c r="DR332" i="1"/>
  <c r="DM332" i="1"/>
  <c r="DP332" i="1"/>
  <c r="DO332" i="1"/>
  <c r="DT332" i="1"/>
  <c r="DZ332" i="1" s="1"/>
  <c r="DL210" i="1"/>
  <c r="DH210" i="1" s="1"/>
  <c r="DE210" i="1" s="1"/>
  <c r="DD210" i="1" s="1"/>
  <c r="DU210" i="1"/>
  <c r="DV210" i="1" s="1"/>
  <c r="DW210" i="1"/>
  <c r="DX210" i="1" s="1"/>
  <c r="DY210" i="1"/>
  <c r="DS210" i="1"/>
  <c r="DQ210" i="1"/>
  <c r="DM211" i="1"/>
  <c r="DP211" i="1"/>
  <c r="DO211" i="1"/>
  <c r="DR211" i="1"/>
  <c r="DT211" i="1"/>
  <c r="DZ211" i="1" s="1"/>
  <c r="FQ212" i="1"/>
  <c r="FU212" i="1"/>
  <c r="FN213" i="1"/>
  <c r="GB210" i="1"/>
  <c r="GC210" i="1" s="1"/>
  <c r="FX210" i="1"/>
  <c r="GF210" i="1"/>
  <c r="GD210" i="1"/>
  <c r="GE210" i="1" s="1"/>
  <c r="FZ210" i="1"/>
  <c r="FY211" i="1"/>
  <c r="FT211" i="1"/>
  <c r="FV211" i="1"/>
  <c r="FW211" i="1"/>
  <c r="GA211" i="1"/>
  <c r="GG211" i="1" s="1"/>
  <c r="FS211" i="1" s="1"/>
  <c r="FO211" i="1" s="1"/>
  <c r="FL211" i="1" s="1"/>
  <c r="FK211" i="1" s="1"/>
  <c r="FQ334" i="1"/>
  <c r="FU334" i="1"/>
  <c r="FN335" i="1"/>
  <c r="CO334" i="1"/>
  <c r="CU334" i="1" s="1"/>
  <c r="CK334" i="1"/>
  <c r="CJ334" i="1"/>
  <c r="CM334" i="1"/>
  <c r="CH334" i="1"/>
  <c r="CP333" i="1"/>
  <c r="CQ333" i="1" s="1"/>
  <c r="CT333" i="1"/>
  <c r="CN333" i="1"/>
  <c r="CG333" i="1"/>
  <c r="CC333" i="1" s="1"/>
  <c r="BZ333" i="1" s="1"/>
  <c r="BY333" i="1" s="1"/>
  <c r="CL333" i="1"/>
  <c r="CR333" i="1"/>
  <c r="CS333" i="1" s="1"/>
  <c r="EP335" i="1"/>
  <c r="EL335" i="1"/>
  <c r="EI336" i="1"/>
  <c r="EN333" i="1"/>
  <c r="EJ333" i="1" s="1"/>
  <c r="EG333" i="1" s="1"/>
  <c r="EF333" i="1" s="1"/>
  <c r="EU333" i="1"/>
  <c r="FA333" i="1"/>
  <c r="EY333" i="1"/>
  <c r="EZ333" i="1" s="1"/>
  <c r="EW333" i="1"/>
  <c r="EX333" i="1" s="1"/>
  <c r="ES333" i="1"/>
  <c r="CB336" i="1"/>
  <c r="CI335" i="1"/>
  <c r="CE335" i="1"/>
  <c r="ET334" i="1"/>
  <c r="EV334" i="1"/>
  <c r="FB334" i="1" s="1"/>
  <c r="EQ334" i="1"/>
  <c r="EO334" i="1"/>
  <c r="ER334" i="1"/>
  <c r="DG334" i="1"/>
  <c r="ER214" i="1"/>
  <c r="EV214" i="1"/>
  <c r="FB214" i="1" s="1"/>
  <c r="ET214" i="1"/>
  <c r="EO214" i="1"/>
  <c r="EQ214" i="1"/>
  <c r="CG214" i="1"/>
  <c r="CC214" i="1" s="1"/>
  <c r="BZ214" i="1" s="1"/>
  <c r="BY214" i="1" s="1"/>
  <c r="CL214" i="1"/>
  <c r="CT214" i="1"/>
  <c r="CR214" i="1"/>
  <c r="CS214" i="1" s="1"/>
  <c r="CN214" i="1"/>
  <c r="CP214" i="1"/>
  <c r="CQ214" i="1" s="1"/>
  <c r="CO215" i="1"/>
  <c r="CU215" i="1" s="1"/>
  <c r="CM215" i="1"/>
  <c r="CK215" i="1"/>
  <c r="CJ215" i="1"/>
  <c r="CH215" i="1"/>
  <c r="EI216" i="1"/>
  <c r="EP215" i="1"/>
  <c r="EL215" i="1"/>
  <c r="EW213" i="1"/>
  <c r="EX213" i="1" s="1"/>
  <c r="EN213" i="1"/>
  <c r="EJ213" i="1" s="1"/>
  <c r="EG213" i="1" s="1"/>
  <c r="EF213" i="1" s="1"/>
  <c r="FA213" i="1"/>
  <c r="EY213" i="1"/>
  <c r="EZ213" i="1" s="1"/>
  <c r="EU213" i="1"/>
  <c r="ES213" i="1"/>
  <c r="CI216" i="1"/>
  <c r="CB217" i="1"/>
  <c r="CE216" i="1"/>
  <c r="EU93" i="1"/>
  <c r="EY93" i="1"/>
  <c r="EZ93" i="1" s="1"/>
  <c r="ES93" i="1"/>
  <c r="EN93" i="1"/>
  <c r="EJ93" i="1" s="1"/>
  <c r="EG93" i="1" s="1"/>
  <c r="EF93" i="1" s="1"/>
  <c r="FA93" i="1"/>
  <c r="EW93" i="1"/>
  <c r="EX93" i="1" s="1"/>
  <c r="FW91" i="1"/>
  <c r="GA91" i="1"/>
  <c r="GG91" i="1" s="1"/>
  <c r="FS91" i="1" s="1"/>
  <c r="FO91" i="1" s="1"/>
  <c r="FL91" i="1" s="1"/>
  <c r="FK91" i="1" s="1"/>
  <c r="FY91" i="1"/>
  <c r="FV91" i="1"/>
  <c r="FT91" i="1"/>
  <c r="CT91" i="1"/>
  <c r="CL91" i="1"/>
  <c r="CR91" i="1"/>
  <c r="CS91" i="1" s="1"/>
  <c r="CN91" i="1"/>
  <c r="CP91" i="1"/>
  <c r="CQ91" i="1" s="1"/>
  <c r="CG91" i="1"/>
  <c r="CC91" i="1" s="1"/>
  <c r="BZ91" i="1" s="1"/>
  <c r="BY91" i="1" s="1"/>
  <c r="FN93" i="1"/>
  <c r="FQ92" i="1"/>
  <c r="FU92" i="1"/>
  <c r="CO92" i="1"/>
  <c r="CU92" i="1" s="1"/>
  <c r="CH92" i="1"/>
  <c r="CJ92" i="1"/>
  <c r="CM92" i="1"/>
  <c r="CK92" i="1"/>
  <c r="DO91" i="1"/>
  <c r="DP91" i="1"/>
  <c r="DR91" i="1"/>
  <c r="DM91" i="1"/>
  <c r="DT91" i="1"/>
  <c r="DZ91" i="1" s="1"/>
  <c r="DQ90" i="1"/>
  <c r="DY90" i="1"/>
  <c r="DL90" i="1"/>
  <c r="DH90" i="1" s="1"/>
  <c r="DE90" i="1" s="1"/>
  <c r="DD90" i="1" s="1"/>
  <c r="DW90" i="1"/>
  <c r="DX90" i="1" s="1"/>
  <c r="DU90" i="1"/>
  <c r="DV90" i="1" s="1"/>
  <c r="DS90" i="1"/>
  <c r="EO94" i="1"/>
  <c r="EV94" i="1"/>
  <c r="FB94" i="1" s="1"/>
  <c r="EQ94" i="1"/>
  <c r="ER94" i="1"/>
  <c r="ET94" i="1"/>
  <c r="GB90" i="1"/>
  <c r="GC90" i="1" s="1"/>
  <c r="GF90" i="1"/>
  <c r="FZ90" i="1"/>
  <c r="FX90" i="1"/>
  <c r="GD90" i="1"/>
  <c r="GE90" i="1" s="1"/>
  <c r="CE93" i="1"/>
  <c r="CB94" i="1"/>
  <c r="CI93" i="1"/>
  <c r="DJ92" i="1"/>
  <c r="DG93" i="1"/>
  <c r="DN92" i="1"/>
  <c r="EL95" i="1"/>
  <c r="EI96" i="1"/>
  <c r="EP95" i="1"/>
  <c r="FQ213" i="1" l="1"/>
  <c r="FU213" i="1"/>
  <c r="FN214" i="1"/>
  <c r="DR333" i="1"/>
  <c r="DM333" i="1"/>
  <c r="DP333" i="1"/>
  <c r="DO333" i="1"/>
  <c r="DT333" i="1"/>
  <c r="DZ333" i="1" s="1"/>
  <c r="DQ332" i="1"/>
  <c r="DW332" i="1"/>
  <c r="DX332" i="1" s="1"/>
  <c r="DU332" i="1"/>
  <c r="DV332" i="1" s="1"/>
  <c r="DY332" i="1"/>
  <c r="DL332" i="1"/>
  <c r="DH332" i="1" s="1"/>
  <c r="DE332" i="1" s="1"/>
  <c r="DD332" i="1" s="1"/>
  <c r="DS332" i="1"/>
  <c r="FV334" i="1"/>
  <c r="FT334" i="1"/>
  <c r="FW334" i="1"/>
  <c r="FY334" i="1"/>
  <c r="GA334" i="1"/>
  <c r="GG334" i="1" s="1"/>
  <c r="FS334" i="1" s="1"/>
  <c r="FO334" i="1" s="1"/>
  <c r="FL334" i="1" s="1"/>
  <c r="FK334" i="1" s="1"/>
  <c r="DP212" i="1"/>
  <c r="DT212" i="1"/>
  <c r="DZ212" i="1" s="1"/>
  <c r="DM212" i="1"/>
  <c r="DR212" i="1"/>
  <c r="DO212" i="1"/>
  <c r="FZ211" i="1"/>
  <c r="GB211" i="1"/>
  <c r="GC211" i="1" s="1"/>
  <c r="GD211" i="1"/>
  <c r="GE211" i="1" s="1"/>
  <c r="GF211" i="1"/>
  <c r="FX211" i="1"/>
  <c r="FQ335" i="1"/>
  <c r="FU335" i="1"/>
  <c r="DG214" i="1"/>
  <c r="DN213" i="1"/>
  <c r="DJ213" i="1"/>
  <c r="FW212" i="1"/>
  <c r="FV212" i="1"/>
  <c r="FT212" i="1"/>
  <c r="FY212" i="1"/>
  <c r="GA212" i="1"/>
  <c r="GG212" i="1" s="1"/>
  <c r="FS212" i="1" s="1"/>
  <c r="FO212" i="1" s="1"/>
  <c r="FL212" i="1" s="1"/>
  <c r="FK212" i="1" s="1"/>
  <c r="FX333" i="1"/>
  <c r="GB333" i="1"/>
  <c r="GC333" i="1" s="1"/>
  <c r="GF333" i="1"/>
  <c r="GD333" i="1"/>
  <c r="GE333" i="1" s="1"/>
  <c r="FZ333" i="1"/>
  <c r="DJ334" i="1"/>
  <c r="DN334" i="1"/>
  <c r="DY211" i="1"/>
  <c r="DQ211" i="1"/>
  <c r="DS211" i="1"/>
  <c r="DL211" i="1"/>
  <c r="DH211" i="1" s="1"/>
  <c r="DE211" i="1" s="1"/>
  <c r="DD211" i="1" s="1"/>
  <c r="DU211" i="1"/>
  <c r="DV211" i="1" s="1"/>
  <c r="DW211" i="1"/>
  <c r="DX211" i="1" s="1"/>
  <c r="CK335" i="1"/>
  <c r="CO335" i="1"/>
  <c r="CU335" i="1" s="1"/>
  <c r="CJ335" i="1"/>
  <c r="CH335" i="1"/>
  <c r="CM335" i="1"/>
  <c r="EP336" i="1"/>
  <c r="EI337" i="1"/>
  <c r="EL336" i="1"/>
  <c r="CB337" i="1"/>
  <c r="CE336" i="1"/>
  <c r="CI336" i="1"/>
  <c r="CP334" i="1"/>
  <c r="CQ334" i="1" s="1"/>
  <c r="CN334" i="1"/>
  <c r="CR334" i="1"/>
  <c r="CS334" i="1" s="1"/>
  <c r="CL334" i="1"/>
  <c r="CG334" i="1"/>
  <c r="CC334" i="1" s="1"/>
  <c r="BZ334" i="1" s="1"/>
  <c r="BY334" i="1" s="1"/>
  <c r="CT334" i="1"/>
  <c r="ET335" i="1"/>
  <c r="EV335" i="1"/>
  <c r="FB335" i="1" s="1"/>
  <c r="EQ335" i="1"/>
  <c r="ER335" i="1"/>
  <c r="EO335" i="1"/>
  <c r="EU334" i="1"/>
  <c r="FA334" i="1"/>
  <c r="EY334" i="1"/>
  <c r="EZ334" i="1" s="1"/>
  <c r="EW334" i="1"/>
  <c r="EX334" i="1" s="1"/>
  <c r="ES334" i="1"/>
  <c r="EN334" i="1"/>
  <c r="EJ334" i="1" s="1"/>
  <c r="EG334" i="1" s="1"/>
  <c r="EF334" i="1" s="1"/>
  <c r="DG335" i="1"/>
  <c r="FN336" i="1"/>
  <c r="CG215" i="1"/>
  <c r="CC215" i="1" s="1"/>
  <c r="BZ215" i="1" s="1"/>
  <c r="BY215" i="1" s="1"/>
  <c r="CN215" i="1"/>
  <c r="CT215" i="1"/>
  <c r="CP215" i="1"/>
  <c r="CQ215" i="1" s="1"/>
  <c r="CL215" i="1"/>
  <c r="CR215" i="1"/>
  <c r="CS215" i="1" s="1"/>
  <c r="EN214" i="1"/>
  <c r="EJ214" i="1" s="1"/>
  <c r="EG214" i="1" s="1"/>
  <c r="EF214" i="1" s="1"/>
  <c r="ES214" i="1"/>
  <c r="FA214" i="1"/>
  <c r="EW214" i="1"/>
  <c r="EX214" i="1" s="1"/>
  <c r="EY214" i="1"/>
  <c r="EZ214" i="1" s="1"/>
  <c r="EU214" i="1"/>
  <c r="CI217" i="1"/>
  <c r="CE217" i="1"/>
  <c r="CB218" i="1"/>
  <c r="CM216" i="1"/>
  <c r="CK216" i="1"/>
  <c r="CJ216" i="1"/>
  <c r="CO216" i="1"/>
  <c r="CU216" i="1" s="1"/>
  <c r="CH216" i="1"/>
  <c r="EV215" i="1"/>
  <c r="FB215" i="1" s="1"/>
  <c r="ET215" i="1"/>
  <c r="ER215" i="1"/>
  <c r="EQ215" i="1"/>
  <c r="EO215" i="1"/>
  <c r="EP216" i="1"/>
  <c r="EL216" i="1"/>
  <c r="EI217" i="1"/>
  <c r="CG92" i="1"/>
  <c r="CC92" i="1" s="1"/>
  <c r="BZ92" i="1" s="1"/>
  <c r="BY92" i="1" s="1"/>
  <c r="CP92" i="1"/>
  <c r="CQ92" i="1" s="1"/>
  <c r="CR92" i="1"/>
  <c r="CS92" i="1" s="1"/>
  <c r="CT92" i="1"/>
  <c r="CL92" i="1"/>
  <c r="CN92" i="1"/>
  <c r="EU94" i="1"/>
  <c r="ES94" i="1"/>
  <c r="EY94" i="1"/>
  <c r="EZ94" i="1" s="1"/>
  <c r="FA94" i="1"/>
  <c r="EN94" i="1"/>
  <c r="EJ94" i="1" s="1"/>
  <c r="EG94" i="1" s="1"/>
  <c r="EF94" i="1" s="1"/>
  <c r="EW94" i="1"/>
  <c r="EX94" i="1" s="1"/>
  <c r="DW91" i="1"/>
  <c r="DX91" i="1" s="1"/>
  <c r="DU91" i="1"/>
  <c r="DV91" i="1" s="1"/>
  <c r="DQ91" i="1"/>
  <c r="DY91" i="1"/>
  <c r="DL91" i="1"/>
  <c r="DH91" i="1" s="1"/>
  <c r="DE91" i="1" s="1"/>
  <c r="DD91" i="1" s="1"/>
  <c r="DS91" i="1"/>
  <c r="CB95" i="1"/>
  <c r="CE94" i="1"/>
  <c r="CI94" i="1"/>
  <c r="EI97" i="1"/>
  <c r="EL96" i="1"/>
  <c r="EP96" i="1"/>
  <c r="DP92" i="1"/>
  <c r="DR92" i="1"/>
  <c r="DT92" i="1"/>
  <c r="DZ92" i="1" s="1"/>
  <c r="DM92" i="1"/>
  <c r="DO92" i="1"/>
  <c r="FT92" i="1"/>
  <c r="FY92" i="1"/>
  <c r="GA92" i="1"/>
  <c r="GG92" i="1" s="1"/>
  <c r="FS92" i="1" s="1"/>
  <c r="FO92" i="1" s="1"/>
  <c r="FL92" i="1" s="1"/>
  <c r="FK92" i="1" s="1"/>
  <c r="FW92" i="1"/>
  <c r="FV92" i="1"/>
  <c r="EO95" i="1"/>
  <c r="EV95" i="1"/>
  <c r="FB95" i="1" s="1"/>
  <c r="EQ95" i="1"/>
  <c r="ER95" i="1"/>
  <c r="ET95" i="1"/>
  <c r="GF91" i="1"/>
  <c r="GB91" i="1"/>
  <c r="GC91" i="1" s="1"/>
  <c r="FX91" i="1"/>
  <c r="FZ91" i="1"/>
  <c r="GD91" i="1"/>
  <c r="GE91" i="1" s="1"/>
  <c r="DG94" i="1"/>
  <c r="DJ93" i="1"/>
  <c r="DN93" i="1"/>
  <c r="FN94" i="1"/>
  <c r="FQ93" i="1"/>
  <c r="FU93" i="1"/>
  <c r="CO93" i="1"/>
  <c r="CU93" i="1" s="1"/>
  <c r="CJ93" i="1"/>
  <c r="CK93" i="1"/>
  <c r="CM93" i="1"/>
  <c r="CH93" i="1"/>
  <c r="DG215" i="1" l="1"/>
  <c r="DN214" i="1"/>
  <c r="DJ214" i="1"/>
  <c r="FX334" i="1"/>
  <c r="GB334" i="1"/>
  <c r="GC334" i="1" s="1"/>
  <c r="GF334" i="1"/>
  <c r="GD334" i="1"/>
  <c r="GE334" i="1" s="1"/>
  <c r="FZ334" i="1"/>
  <c r="DM334" i="1"/>
  <c r="DO334" i="1"/>
  <c r="DP334" i="1"/>
  <c r="DR334" i="1"/>
  <c r="DT334" i="1"/>
  <c r="DZ334" i="1" s="1"/>
  <c r="DS212" i="1"/>
  <c r="DL212" i="1"/>
  <c r="DH212" i="1" s="1"/>
  <c r="DE212" i="1" s="1"/>
  <c r="DD212" i="1" s="1"/>
  <c r="DW212" i="1"/>
  <c r="DX212" i="1" s="1"/>
  <c r="DY212" i="1"/>
  <c r="DQ212" i="1"/>
  <c r="DU212" i="1"/>
  <c r="DV212" i="1" s="1"/>
  <c r="GD212" i="1"/>
  <c r="GE212" i="1" s="1"/>
  <c r="FZ212" i="1"/>
  <c r="FX212" i="1"/>
  <c r="GF212" i="1"/>
  <c r="GB212" i="1"/>
  <c r="GC212" i="1" s="1"/>
  <c r="DW333" i="1"/>
  <c r="DX333" i="1" s="1"/>
  <c r="DQ333" i="1"/>
  <c r="DL333" i="1"/>
  <c r="DU333" i="1"/>
  <c r="DV333" i="1" s="1"/>
  <c r="DY333" i="1"/>
  <c r="DS333" i="1"/>
  <c r="FQ214" i="1"/>
  <c r="FU214" i="1"/>
  <c r="FN215" i="1"/>
  <c r="FQ336" i="1"/>
  <c r="FU336" i="1"/>
  <c r="FT213" i="1"/>
  <c r="FV213" i="1"/>
  <c r="FY213" i="1"/>
  <c r="FW213" i="1"/>
  <c r="GA213" i="1"/>
  <c r="GG213" i="1" s="1"/>
  <c r="FS213" i="1" s="1"/>
  <c r="FO213" i="1" s="1"/>
  <c r="FL213" i="1" s="1"/>
  <c r="FK213" i="1" s="1"/>
  <c r="FT335" i="1"/>
  <c r="FV335" i="1"/>
  <c r="FW335" i="1"/>
  <c r="FY335" i="1"/>
  <c r="GA335" i="1"/>
  <c r="GG335" i="1" s="1"/>
  <c r="FS335" i="1" s="1"/>
  <c r="FO335" i="1" s="1"/>
  <c r="FL335" i="1" s="1"/>
  <c r="FK335" i="1" s="1"/>
  <c r="DJ335" i="1"/>
  <c r="DN335" i="1"/>
  <c r="DM213" i="1"/>
  <c r="DO213" i="1"/>
  <c r="DP213" i="1"/>
  <c r="DT213" i="1"/>
  <c r="DZ213" i="1" s="1"/>
  <c r="DR213" i="1"/>
  <c r="EU335" i="1"/>
  <c r="FA335" i="1"/>
  <c r="ES335" i="1"/>
  <c r="EN335" i="1"/>
  <c r="EJ335" i="1" s="1"/>
  <c r="EG335" i="1" s="1"/>
  <c r="EF335" i="1" s="1"/>
  <c r="EY335" i="1"/>
  <c r="EZ335" i="1" s="1"/>
  <c r="EW335" i="1"/>
  <c r="EX335" i="1" s="1"/>
  <c r="CO336" i="1"/>
  <c r="CU336" i="1" s="1"/>
  <c r="CK336" i="1"/>
  <c r="CM336" i="1"/>
  <c r="CH336" i="1"/>
  <c r="CJ336" i="1"/>
  <c r="EP337" i="1"/>
  <c r="EI338" i="1"/>
  <c r="EL337" i="1"/>
  <c r="CB338" i="1"/>
  <c r="CI337" i="1"/>
  <c r="CE337" i="1"/>
  <c r="ET336" i="1"/>
  <c r="ER336" i="1"/>
  <c r="EV336" i="1"/>
  <c r="FB336" i="1" s="1"/>
  <c r="EQ336" i="1"/>
  <c r="EO336" i="1"/>
  <c r="FN337" i="1"/>
  <c r="CG335" i="1"/>
  <c r="CC335" i="1" s="1"/>
  <c r="BZ335" i="1" s="1"/>
  <c r="BY335" i="1" s="1"/>
  <c r="CP335" i="1"/>
  <c r="CQ335" i="1" s="1"/>
  <c r="CN335" i="1"/>
  <c r="CT335" i="1"/>
  <c r="CL335" i="1"/>
  <c r="CR335" i="1"/>
  <c r="CS335" i="1" s="1"/>
  <c r="DG336" i="1"/>
  <c r="DH333" i="1"/>
  <c r="DE333" i="1" s="1"/>
  <c r="DD333" i="1" s="1"/>
  <c r="EI218" i="1"/>
  <c r="EP217" i="1"/>
  <c r="EL217" i="1"/>
  <c r="EN215" i="1"/>
  <c r="EJ215" i="1" s="1"/>
  <c r="EG215" i="1" s="1"/>
  <c r="EF215" i="1" s="1"/>
  <c r="FA215" i="1"/>
  <c r="ES215" i="1"/>
  <c r="EY215" i="1"/>
  <c r="EZ215" i="1" s="1"/>
  <c r="EU215" i="1"/>
  <c r="EW215" i="1"/>
  <c r="EX215" i="1" s="1"/>
  <c r="ER216" i="1"/>
  <c r="EO216" i="1"/>
  <c r="EV216" i="1"/>
  <c r="FB216" i="1" s="1"/>
  <c r="ET216" i="1"/>
  <c r="EQ216" i="1"/>
  <c r="CB219" i="1"/>
  <c r="CI218" i="1"/>
  <c r="CE218" i="1"/>
  <c r="CO217" i="1"/>
  <c r="CU217" i="1" s="1"/>
  <c r="CM217" i="1"/>
  <c r="CK217" i="1"/>
  <c r="CJ217" i="1"/>
  <c r="CH217" i="1"/>
  <c r="CR216" i="1"/>
  <c r="CS216" i="1" s="1"/>
  <c r="CG216" i="1"/>
  <c r="CC216" i="1" s="1"/>
  <c r="BZ216" i="1" s="1"/>
  <c r="BY216" i="1" s="1"/>
  <c r="CP216" i="1"/>
  <c r="CQ216" i="1" s="1"/>
  <c r="CL216" i="1"/>
  <c r="CN216" i="1"/>
  <c r="CT216" i="1"/>
  <c r="EO96" i="1"/>
  <c r="EV96" i="1"/>
  <c r="FB96" i="1" s="1"/>
  <c r="EQ96" i="1"/>
  <c r="ER96" i="1"/>
  <c r="ET96" i="1"/>
  <c r="DM93" i="1"/>
  <c r="DO93" i="1"/>
  <c r="DP93" i="1"/>
  <c r="DT93" i="1"/>
  <c r="DZ93" i="1" s="1"/>
  <c r="DR93" i="1"/>
  <c r="GD92" i="1"/>
  <c r="GE92" i="1" s="1"/>
  <c r="FX92" i="1"/>
  <c r="GF92" i="1"/>
  <c r="FZ92" i="1"/>
  <c r="GB92" i="1"/>
  <c r="GC92" i="1" s="1"/>
  <c r="EI98" i="1"/>
  <c r="EL97" i="1"/>
  <c r="EP97" i="1"/>
  <c r="DG95" i="1"/>
  <c r="DJ94" i="1"/>
  <c r="DN94" i="1"/>
  <c r="CK94" i="1"/>
  <c r="CH94" i="1"/>
  <c r="CJ94" i="1"/>
  <c r="CM94" i="1"/>
  <c r="CO94" i="1"/>
  <c r="CU94" i="1" s="1"/>
  <c r="DU92" i="1"/>
  <c r="DV92" i="1" s="1"/>
  <c r="DW92" i="1"/>
  <c r="DX92" i="1" s="1"/>
  <c r="DS92" i="1"/>
  <c r="DQ92" i="1"/>
  <c r="DY92" i="1"/>
  <c r="DL92" i="1"/>
  <c r="DH92" i="1" s="1"/>
  <c r="DE92" i="1" s="1"/>
  <c r="DD92" i="1" s="1"/>
  <c r="FN95" i="1"/>
  <c r="FQ94" i="1"/>
  <c r="FU94" i="1"/>
  <c r="EY95" i="1"/>
  <c r="EZ95" i="1" s="1"/>
  <c r="FA95" i="1"/>
  <c r="EN95" i="1"/>
  <c r="EJ95" i="1" s="1"/>
  <c r="EG95" i="1" s="1"/>
  <c r="EF95" i="1" s="1"/>
  <c r="ES95" i="1"/>
  <c r="EW95" i="1"/>
  <c r="EX95" i="1" s="1"/>
  <c r="EU95" i="1"/>
  <c r="CB96" i="1"/>
  <c r="CE95" i="1"/>
  <c r="CI95" i="1"/>
  <c r="CT93" i="1"/>
  <c r="CG93" i="1"/>
  <c r="CC93" i="1" s="1"/>
  <c r="BZ93" i="1" s="1"/>
  <c r="BY93" i="1" s="1"/>
  <c r="CP93" i="1"/>
  <c r="CQ93" i="1" s="1"/>
  <c r="CL93" i="1"/>
  <c r="CR93" i="1"/>
  <c r="CS93" i="1" s="1"/>
  <c r="CN93" i="1"/>
  <c r="FV93" i="1"/>
  <c r="FY93" i="1"/>
  <c r="FW93" i="1"/>
  <c r="FT93" i="1"/>
  <c r="GA93" i="1"/>
  <c r="GG93" i="1" s="1"/>
  <c r="FS93" i="1" s="1"/>
  <c r="FO93" i="1" s="1"/>
  <c r="FL93" i="1" s="1"/>
  <c r="FK93" i="1" s="1"/>
  <c r="FY214" i="1" l="1"/>
  <c r="FT214" i="1"/>
  <c r="FV214" i="1"/>
  <c r="FW214" i="1"/>
  <c r="GA214" i="1"/>
  <c r="GG214" i="1" s="1"/>
  <c r="FS214" i="1" s="1"/>
  <c r="FO214" i="1" s="1"/>
  <c r="FL214" i="1" s="1"/>
  <c r="FK214" i="1" s="1"/>
  <c r="GB213" i="1"/>
  <c r="GC213" i="1" s="1"/>
  <c r="GF213" i="1"/>
  <c r="GD213" i="1"/>
  <c r="GE213" i="1" s="1"/>
  <c r="FX213" i="1"/>
  <c r="FZ213" i="1"/>
  <c r="DS213" i="1"/>
  <c r="DL213" i="1"/>
  <c r="DH213" i="1" s="1"/>
  <c r="DE213" i="1" s="1"/>
  <c r="DD213" i="1" s="1"/>
  <c r="DQ213" i="1"/>
  <c r="DY213" i="1"/>
  <c r="DU213" i="1"/>
  <c r="DV213" i="1" s="1"/>
  <c r="DW213" i="1"/>
  <c r="DX213" i="1" s="1"/>
  <c r="FV336" i="1"/>
  <c r="FW336" i="1"/>
  <c r="FT336" i="1"/>
  <c r="FY336" i="1"/>
  <c r="GA336" i="1"/>
  <c r="GG336" i="1" s="1"/>
  <c r="FS336" i="1" s="1"/>
  <c r="FO336" i="1" s="1"/>
  <c r="FL336" i="1" s="1"/>
  <c r="FK336" i="1" s="1"/>
  <c r="FQ337" i="1"/>
  <c r="FU337" i="1"/>
  <c r="DP214" i="1"/>
  <c r="DR214" i="1"/>
  <c r="DM214" i="1"/>
  <c r="DT214" i="1"/>
  <c r="DZ214" i="1" s="1"/>
  <c r="DO214" i="1"/>
  <c r="DO335" i="1"/>
  <c r="DR335" i="1"/>
  <c r="DM335" i="1"/>
  <c r="DP335" i="1"/>
  <c r="DT335" i="1"/>
  <c r="DZ335" i="1" s="1"/>
  <c r="DJ336" i="1"/>
  <c r="DN336" i="1"/>
  <c r="GB335" i="1"/>
  <c r="GC335" i="1" s="1"/>
  <c r="GD335" i="1"/>
  <c r="GE335" i="1" s="1"/>
  <c r="GF335" i="1"/>
  <c r="FX335" i="1"/>
  <c r="FZ335" i="1"/>
  <c r="FQ215" i="1"/>
  <c r="FU215" i="1"/>
  <c r="FN216" i="1"/>
  <c r="DS334" i="1"/>
  <c r="DL334" i="1"/>
  <c r="DH334" i="1" s="1"/>
  <c r="DE334" i="1" s="1"/>
  <c r="DD334" i="1" s="1"/>
  <c r="DU334" i="1"/>
  <c r="DV334" i="1" s="1"/>
  <c r="DQ334" i="1"/>
  <c r="DW334" i="1"/>
  <c r="DX334" i="1" s="1"/>
  <c r="DY334" i="1"/>
  <c r="DG216" i="1"/>
  <c r="DN215" i="1"/>
  <c r="DJ215" i="1"/>
  <c r="FA336" i="1"/>
  <c r="ES336" i="1"/>
  <c r="EU336" i="1"/>
  <c r="EN336" i="1"/>
  <c r="EJ336" i="1" s="1"/>
  <c r="EG336" i="1" s="1"/>
  <c r="EF336" i="1" s="1"/>
  <c r="EY336" i="1"/>
  <c r="EZ336" i="1" s="1"/>
  <c r="EW336" i="1"/>
  <c r="EX336" i="1" s="1"/>
  <c r="CK337" i="1"/>
  <c r="CJ337" i="1"/>
  <c r="CO337" i="1"/>
  <c r="CU337" i="1" s="1"/>
  <c r="CH337" i="1"/>
  <c r="CM337" i="1"/>
  <c r="EP338" i="1"/>
  <c r="EL338" i="1"/>
  <c r="EI339" i="1"/>
  <c r="CG336" i="1"/>
  <c r="CC336" i="1" s="1"/>
  <c r="BZ336" i="1" s="1"/>
  <c r="BY336" i="1" s="1"/>
  <c r="CN336" i="1"/>
  <c r="CR336" i="1"/>
  <c r="CS336" i="1" s="1"/>
  <c r="CL336" i="1"/>
  <c r="CT336" i="1"/>
  <c r="CP336" i="1"/>
  <c r="CQ336" i="1" s="1"/>
  <c r="DG337" i="1"/>
  <c r="FN338" i="1"/>
  <c r="CB339" i="1"/>
  <c r="CE338" i="1"/>
  <c r="CI338" i="1"/>
  <c r="EO337" i="1"/>
  <c r="ET337" i="1"/>
  <c r="EV337" i="1"/>
  <c r="FB337" i="1" s="1"/>
  <c r="EQ337" i="1"/>
  <c r="ER337" i="1"/>
  <c r="CG217" i="1"/>
  <c r="CC217" i="1" s="1"/>
  <c r="BZ217" i="1" s="1"/>
  <c r="BY217" i="1" s="1"/>
  <c r="CN217" i="1"/>
  <c r="CT217" i="1"/>
  <c r="CP217" i="1"/>
  <c r="CQ217" i="1" s="1"/>
  <c r="CR217" i="1"/>
  <c r="CS217" i="1" s="1"/>
  <c r="CL217" i="1"/>
  <c r="CH218" i="1"/>
  <c r="CM218" i="1"/>
  <c r="CO218" i="1"/>
  <c r="CU218" i="1" s="1"/>
  <c r="CJ218" i="1"/>
  <c r="CK218" i="1"/>
  <c r="EW216" i="1"/>
  <c r="EX216" i="1" s="1"/>
  <c r="EN216" i="1"/>
  <c r="EJ216" i="1" s="1"/>
  <c r="EG216" i="1" s="1"/>
  <c r="EF216" i="1" s="1"/>
  <c r="ES216" i="1"/>
  <c r="EY216" i="1"/>
  <c r="EZ216" i="1" s="1"/>
  <c r="FA216" i="1"/>
  <c r="EU216" i="1"/>
  <c r="CI219" i="1"/>
  <c r="CB220" i="1"/>
  <c r="CE219" i="1"/>
  <c r="EQ217" i="1"/>
  <c r="EV217" i="1"/>
  <c r="FB217" i="1" s="1"/>
  <c r="ER217" i="1"/>
  <c r="EO217" i="1"/>
  <c r="ET217" i="1"/>
  <c r="EL218" i="1"/>
  <c r="EI219" i="1"/>
  <c r="EP218" i="1"/>
  <c r="EL98" i="1"/>
  <c r="EI99" i="1"/>
  <c r="EP98" i="1"/>
  <c r="CG94" i="1"/>
  <c r="CC94" i="1" s="1"/>
  <c r="BZ94" i="1" s="1"/>
  <c r="BY94" i="1" s="1"/>
  <c r="CR94" i="1"/>
  <c r="CS94" i="1" s="1"/>
  <c r="CT94" i="1"/>
  <c r="CN94" i="1"/>
  <c r="CP94" i="1"/>
  <c r="CQ94" i="1" s="1"/>
  <c r="CL94" i="1"/>
  <c r="DL93" i="1"/>
  <c r="DH93" i="1" s="1"/>
  <c r="DE93" i="1" s="1"/>
  <c r="DD93" i="1" s="1"/>
  <c r="DQ93" i="1"/>
  <c r="DY93" i="1"/>
  <c r="DS93" i="1"/>
  <c r="DW93" i="1"/>
  <c r="DX93" i="1" s="1"/>
  <c r="DU93" i="1"/>
  <c r="DV93" i="1" s="1"/>
  <c r="DM94" i="1"/>
  <c r="DO94" i="1"/>
  <c r="DP94" i="1"/>
  <c r="DR94" i="1"/>
  <c r="DT94" i="1"/>
  <c r="DZ94" i="1" s="1"/>
  <c r="CM95" i="1"/>
  <c r="CO95" i="1"/>
  <c r="CU95" i="1" s="1"/>
  <c r="CH95" i="1"/>
  <c r="CJ95" i="1"/>
  <c r="CK95" i="1"/>
  <c r="FW94" i="1"/>
  <c r="FY94" i="1"/>
  <c r="FV94" i="1"/>
  <c r="GA94" i="1"/>
  <c r="GG94" i="1" s="1"/>
  <c r="FS94" i="1" s="1"/>
  <c r="FO94" i="1" s="1"/>
  <c r="FL94" i="1" s="1"/>
  <c r="FK94" i="1" s="1"/>
  <c r="FT94" i="1"/>
  <c r="DG96" i="1"/>
  <c r="DJ95" i="1"/>
  <c r="DN95" i="1"/>
  <c r="GB93" i="1"/>
  <c r="GC93" i="1" s="1"/>
  <c r="GD93" i="1"/>
  <c r="GE93" i="1" s="1"/>
  <c r="GF93" i="1"/>
  <c r="FX93" i="1"/>
  <c r="FZ93" i="1"/>
  <c r="EV97" i="1"/>
  <c r="FB97" i="1" s="1"/>
  <c r="EQ97" i="1"/>
  <c r="ER97" i="1"/>
  <c r="ET97" i="1"/>
  <c r="EO97" i="1"/>
  <c r="CE96" i="1"/>
  <c r="CB97" i="1"/>
  <c r="CI96" i="1"/>
  <c r="FN96" i="1"/>
  <c r="FQ95" i="1"/>
  <c r="FU95" i="1"/>
  <c r="EN96" i="1"/>
  <c r="EJ96" i="1" s="1"/>
  <c r="EG96" i="1" s="1"/>
  <c r="EF96" i="1" s="1"/>
  <c r="EW96" i="1"/>
  <c r="EX96" i="1" s="1"/>
  <c r="EU96" i="1"/>
  <c r="EY96" i="1"/>
  <c r="EZ96" i="1" s="1"/>
  <c r="FA96" i="1"/>
  <c r="ES96" i="1"/>
  <c r="DQ335" i="1" l="1"/>
  <c r="DS335" i="1"/>
  <c r="DL335" i="1"/>
  <c r="DH335" i="1" s="1"/>
  <c r="DE335" i="1" s="1"/>
  <c r="DD335" i="1" s="1"/>
  <c r="DU335" i="1"/>
  <c r="DV335" i="1" s="1"/>
  <c r="DW335" i="1"/>
  <c r="DX335" i="1" s="1"/>
  <c r="DY335" i="1"/>
  <c r="DO215" i="1"/>
  <c r="DT215" i="1"/>
  <c r="DZ215" i="1" s="1"/>
  <c r="DR215" i="1"/>
  <c r="DM215" i="1"/>
  <c r="DP215" i="1"/>
  <c r="FQ216" i="1"/>
  <c r="FU216" i="1"/>
  <c r="FN217" i="1"/>
  <c r="DO336" i="1"/>
  <c r="DM336" i="1"/>
  <c r="DP336" i="1"/>
  <c r="DR336" i="1"/>
  <c r="DT336" i="1"/>
  <c r="DZ336" i="1" s="1"/>
  <c r="GF336" i="1"/>
  <c r="FZ336" i="1"/>
  <c r="GD336" i="1"/>
  <c r="GE336" i="1" s="1"/>
  <c r="GB336" i="1"/>
  <c r="GC336" i="1" s="1"/>
  <c r="FX336" i="1"/>
  <c r="GA337" i="1"/>
  <c r="GG337" i="1" s="1"/>
  <c r="FS337" i="1" s="1"/>
  <c r="FO337" i="1" s="1"/>
  <c r="FL337" i="1" s="1"/>
  <c r="FK337" i="1" s="1"/>
  <c r="FW337" i="1"/>
  <c r="FT337" i="1"/>
  <c r="FY337" i="1"/>
  <c r="FV337" i="1"/>
  <c r="FQ338" i="1"/>
  <c r="FU338" i="1"/>
  <c r="DN216" i="1"/>
  <c r="DJ216" i="1"/>
  <c r="DG217" i="1"/>
  <c r="FT215" i="1"/>
  <c r="FV215" i="1"/>
  <c r="FW215" i="1"/>
  <c r="FY215" i="1"/>
  <c r="GA215" i="1"/>
  <c r="GG215" i="1" s="1"/>
  <c r="FS215" i="1" s="1"/>
  <c r="FO215" i="1" s="1"/>
  <c r="FL215" i="1" s="1"/>
  <c r="FK215" i="1" s="1"/>
  <c r="DL214" i="1"/>
  <c r="DH214" i="1" s="1"/>
  <c r="DE214" i="1" s="1"/>
  <c r="DD214" i="1" s="1"/>
  <c r="DS214" i="1"/>
  <c r="DQ214" i="1"/>
  <c r="DY214" i="1"/>
  <c r="DW214" i="1"/>
  <c r="DX214" i="1" s="1"/>
  <c r="DU214" i="1"/>
  <c r="DV214" i="1" s="1"/>
  <c r="FX214" i="1"/>
  <c r="GB214" i="1"/>
  <c r="GC214" i="1" s="1"/>
  <c r="GF214" i="1"/>
  <c r="GD214" i="1"/>
  <c r="GE214" i="1" s="1"/>
  <c r="FZ214" i="1"/>
  <c r="DJ337" i="1"/>
  <c r="DN337" i="1"/>
  <c r="CR337" i="1"/>
  <c r="CS337" i="1" s="1"/>
  <c r="CG337" i="1"/>
  <c r="CC337" i="1" s="1"/>
  <c r="BZ337" i="1" s="1"/>
  <c r="BY337" i="1" s="1"/>
  <c r="CP337" i="1"/>
  <c r="CQ337" i="1" s="1"/>
  <c r="CN337" i="1"/>
  <c r="CL337" i="1"/>
  <c r="CT337" i="1"/>
  <c r="FN339" i="1"/>
  <c r="CB340" i="1"/>
  <c r="CI339" i="1"/>
  <c r="CE339" i="1"/>
  <c r="EW337" i="1"/>
  <c r="EX337" i="1" s="1"/>
  <c r="EU337" i="1"/>
  <c r="EN337" i="1"/>
  <c r="EJ337" i="1" s="1"/>
  <c r="EG337" i="1" s="1"/>
  <c r="EF337" i="1" s="1"/>
  <c r="EY337" i="1"/>
  <c r="EZ337" i="1" s="1"/>
  <c r="FA337" i="1"/>
  <c r="ES337" i="1"/>
  <c r="EP339" i="1"/>
  <c r="EI340" i="1"/>
  <c r="EL339" i="1"/>
  <c r="CO338" i="1"/>
  <c r="CU338" i="1" s="1"/>
  <c r="CK338" i="1"/>
  <c r="CJ338" i="1"/>
  <c r="CH338" i="1"/>
  <c r="CM338" i="1"/>
  <c r="DG338" i="1"/>
  <c r="ET338" i="1"/>
  <c r="EQ338" i="1"/>
  <c r="EV338" i="1"/>
  <c r="FB338" i="1" s="1"/>
  <c r="ER338" i="1"/>
  <c r="EO338" i="1"/>
  <c r="EY217" i="1"/>
  <c r="EZ217" i="1" s="1"/>
  <c r="EN217" i="1"/>
  <c r="EJ217" i="1" s="1"/>
  <c r="EG217" i="1" s="1"/>
  <c r="EF217" i="1" s="1"/>
  <c r="FA217" i="1"/>
  <c r="EW217" i="1"/>
  <c r="EX217" i="1" s="1"/>
  <c r="EU217" i="1"/>
  <c r="ES217" i="1"/>
  <c r="ET218" i="1"/>
  <c r="ER218" i="1"/>
  <c r="EQ218" i="1"/>
  <c r="EO218" i="1"/>
  <c r="EV218" i="1"/>
  <c r="FB218" i="1" s="1"/>
  <c r="EP219" i="1"/>
  <c r="EI220" i="1"/>
  <c r="EL219" i="1"/>
  <c r="CB221" i="1"/>
  <c r="CE220" i="1"/>
  <c r="CI220" i="1"/>
  <c r="CP218" i="1"/>
  <c r="CQ218" i="1" s="1"/>
  <c r="CR218" i="1"/>
  <c r="CS218" i="1" s="1"/>
  <c r="CG218" i="1"/>
  <c r="CC218" i="1" s="1"/>
  <c r="BZ218" i="1" s="1"/>
  <c r="BY218" i="1" s="1"/>
  <c r="CN218" i="1"/>
  <c r="CL218" i="1"/>
  <c r="CT218" i="1"/>
  <c r="CK219" i="1"/>
  <c r="CJ219" i="1"/>
  <c r="CM219" i="1"/>
  <c r="CH219" i="1"/>
  <c r="CO219" i="1"/>
  <c r="CU219" i="1" s="1"/>
  <c r="DL94" i="1"/>
  <c r="DH94" i="1" s="1"/>
  <c r="DE94" i="1" s="1"/>
  <c r="DD94" i="1" s="1"/>
  <c r="DQ94" i="1"/>
  <c r="DY94" i="1"/>
  <c r="DS94" i="1"/>
  <c r="DU94" i="1"/>
  <c r="DV94" i="1" s="1"/>
  <c r="DW94" i="1"/>
  <c r="DX94" i="1" s="1"/>
  <c r="DG97" i="1"/>
  <c r="DJ96" i="1"/>
  <c r="DN96" i="1"/>
  <c r="CG95" i="1"/>
  <c r="CC95" i="1" s="1"/>
  <c r="BZ95" i="1" s="1"/>
  <c r="BY95" i="1" s="1"/>
  <c r="CT95" i="1"/>
  <c r="CR95" i="1"/>
  <c r="CS95" i="1" s="1"/>
  <c r="CL95" i="1"/>
  <c r="CP95" i="1"/>
  <c r="CQ95" i="1" s="1"/>
  <c r="CN95" i="1"/>
  <c r="FZ94" i="1"/>
  <c r="FX94" i="1"/>
  <c r="GF94" i="1"/>
  <c r="GB94" i="1"/>
  <c r="GC94" i="1" s="1"/>
  <c r="GD94" i="1"/>
  <c r="GE94" i="1" s="1"/>
  <c r="FN97" i="1"/>
  <c r="FQ96" i="1"/>
  <c r="FU96" i="1"/>
  <c r="ES97" i="1"/>
  <c r="FA97" i="1"/>
  <c r="EN97" i="1"/>
  <c r="EJ97" i="1" s="1"/>
  <c r="EG97" i="1" s="1"/>
  <c r="EF97" i="1" s="1"/>
  <c r="EW97" i="1"/>
  <c r="EX97" i="1" s="1"/>
  <c r="EU97" i="1"/>
  <c r="EY97" i="1"/>
  <c r="EZ97" i="1" s="1"/>
  <c r="EQ98" i="1"/>
  <c r="ER98" i="1"/>
  <c r="ET98" i="1"/>
  <c r="EO98" i="1"/>
  <c r="EV98" i="1"/>
  <c r="FB98" i="1" s="1"/>
  <c r="CO96" i="1"/>
  <c r="CU96" i="1" s="1"/>
  <c r="CH96" i="1"/>
  <c r="CJ96" i="1"/>
  <c r="CK96" i="1"/>
  <c r="CM96" i="1"/>
  <c r="CB98" i="1"/>
  <c r="CE97" i="1"/>
  <c r="CI97" i="1"/>
  <c r="EL99" i="1"/>
  <c r="EI100" i="1"/>
  <c r="EP99" i="1"/>
  <c r="FY95" i="1"/>
  <c r="FT95" i="1"/>
  <c r="GA95" i="1"/>
  <c r="GG95" i="1" s="1"/>
  <c r="FS95" i="1" s="1"/>
  <c r="FO95" i="1" s="1"/>
  <c r="FL95" i="1" s="1"/>
  <c r="FK95" i="1" s="1"/>
  <c r="FV95" i="1"/>
  <c r="FW95" i="1"/>
  <c r="DR95" i="1"/>
  <c r="DM95" i="1"/>
  <c r="DO95" i="1"/>
  <c r="DP95" i="1"/>
  <c r="DT95" i="1"/>
  <c r="DZ95" i="1" s="1"/>
  <c r="DM216" i="1" l="1"/>
  <c r="DP216" i="1"/>
  <c r="DT216" i="1"/>
  <c r="DZ216" i="1" s="1"/>
  <c r="DO216" i="1"/>
  <c r="DR216" i="1"/>
  <c r="DY336" i="1"/>
  <c r="DL336" i="1"/>
  <c r="DH336" i="1" s="1"/>
  <c r="DE336" i="1" s="1"/>
  <c r="DD336" i="1" s="1"/>
  <c r="DQ336" i="1"/>
  <c r="DU336" i="1"/>
  <c r="DV336" i="1" s="1"/>
  <c r="DW336" i="1"/>
  <c r="DX336" i="1" s="1"/>
  <c r="DS336" i="1"/>
  <c r="FY338" i="1"/>
  <c r="FW338" i="1"/>
  <c r="FV338" i="1"/>
  <c r="FT338" i="1"/>
  <c r="GA338" i="1"/>
  <c r="GG338" i="1" s="1"/>
  <c r="FS338" i="1" s="1"/>
  <c r="FO338" i="1" s="1"/>
  <c r="FL338" i="1" s="1"/>
  <c r="FK338" i="1" s="1"/>
  <c r="FQ217" i="1"/>
  <c r="FU217" i="1"/>
  <c r="FN218" i="1"/>
  <c r="DJ338" i="1"/>
  <c r="DN338" i="1"/>
  <c r="FT216" i="1"/>
  <c r="FV216" i="1"/>
  <c r="FW216" i="1"/>
  <c r="FY216" i="1"/>
  <c r="GA216" i="1"/>
  <c r="GG216" i="1" s="1"/>
  <c r="FS216" i="1" s="1"/>
  <c r="FO216" i="1" s="1"/>
  <c r="FL216" i="1" s="1"/>
  <c r="FK216" i="1" s="1"/>
  <c r="DR337" i="1"/>
  <c r="DO337" i="1"/>
  <c r="DP337" i="1"/>
  <c r="DM337" i="1"/>
  <c r="DT337" i="1"/>
  <c r="DZ337" i="1" s="1"/>
  <c r="GF215" i="1"/>
  <c r="GB215" i="1"/>
  <c r="GC215" i="1" s="1"/>
  <c r="GD215" i="1"/>
  <c r="GE215" i="1" s="1"/>
  <c r="FX215" i="1"/>
  <c r="FZ215" i="1"/>
  <c r="FZ337" i="1"/>
  <c r="GB337" i="1"/>
  <c r="GC337" i="1" s="1"/>
  <c r="GF337" i="1"/>
  <c r="GD337" i="1"/>
  <c r="GE337" i="1" s="1"/>
  <c r="FX337" i="1"/>
  <c r="FQ339" i="1"/>
  <c r="FU339" i="1"/>
  <c r="DG218" i="1"/>
  <c r="DJ217" i="1"/>
  <c r="DN217" i="1"/>
  <c r="DQ215" i="1"/>
  <c r="DY215" i="1"/>
  <c r="DU215" i="1"/>
  <c r="DV215" i="1" s="1"/>
  <c r="DL215" i="1"/>
  <c r="DH215" i="1" s="1"/>
  <c r="DE215" i="1" s="1"/>
  <c r="DD215" i="1" s="1"/>
  <c r="DS215" i="1"/>
  <c r="DW215" i="1"/>
  <c r="DX215" i="1" s="1"/>
  <c r="FA338" i="1"/>
  <c r="ES338" i="1"/>
  <c r="EN338" i="1"/>
  <c r="EJ338" i="1" s="1"/>
  <c r="EG338" i="1" s="1"/>
  <c r="EF338" i="1" s="1"/>
  <c r="EY338" i="1"/>
  <c r="EZ338" i="1" s="1"/>
  <c r="EU338" i="1"/>
  <c r="EW338" i="1"/>
  <c r="EX338" i="1" s="1"/>
  <c r="CK339" i="1"/>
  <c r="CJ339" i="1"/>
  <c r="CO339" i="1"/>
  <c r="CU339" i="1" s="1"/>
  <c r="CM339" i="1"/>
  <c r="CH339" i="1"/>
  <c r="EP340" i="1"/>
  <c r="EI341" i="1"/>
  <c r="EL340" i="1"/>
  <c r="CB341" i="1"/>
  <c r="CE340" i="1"/>
  <c r="CI340" i="1"/>
  <c r="EO339" i="1"/>
  <c r="ET339" i="1"/>
  <c r="EQ339" i="1"/>
  <c r="EV339" i="1"/>
  <c r="FB339" i="1" s="1"/>
  <c r="ER339" i="1"/>
  <c r="DG339" i="1"/>
  <c r="CG338" i="1"/>
  <c r="CC338" i="1" s="1"/>
  <c r="BZ338" i="1" s="1"/>
  <c r="BY338" i="1" s="1"/>
  <c r="CN338" i="1"/>
  <c r="CL338" i="1"/>
  <c r="CR338" i="1"/>
  <c r="CS338" i="1" s="1"/>
  <c r="CT338" i="1"/>
  <c r="CP338" i="1"/>
  <c r="CQ338" i="1" s="1"/>
  <c r="FN340" i="1"/>
  <c r="CI221" i="1"/>
  <c r="CB222" i="1"/>
  <c r="CE221" i="1"/>
  <c r="EL220" i="1"/>
  <c r="EI221" i="1"/>
  <c r="EP220" i="1"/>
  <c r="CH220" i="1"/>
  <c r="CO220" i="1"/>
  <c r="CU220" i="1" s="1"/>
  <c r="CM220" i="1"/>
  <c r="CK220" i="1"/>
  <c r="CJ220" i="1"/>
  <c r="EQ219" i="1"/>
  <c r="EO219" i="1"/>
  <c r="EV219" i="1"/>
  <c r="FB219" i="1" s="1"/>
  <c r="ET219" i="1"/>
  <c r="ER219" i="1"/>
  <c r="CT219" i="1"/>
  <c r="CL219" i="1"/>
  <c r="CR219" i="1"/>
  <c r="CS219" i="1" s="1"/>
  <c r="CP219" i="1"/>
  <c r="CQ219" i="1" s="1"/>
  <c r="CN219" i="1"/>
  <c r="CG219" i="1"/>
  <c r="CC219" i="1" s="1"/>
  <c r="BZ219" i="1" s="1"/>
  <c r="BY219" i="1" s="1"/>
  <c r="EU218" i="1"/>
  <c r="FA218" i="1"/>
  <c r="ES218" i="1"/>
  <c r="EN218" i="1"/>
  <c r="EJ218" i="1" s="1"/>
  <c r="EG218" i="1" s="1"/>
  <c r="EF218" i="1" s="1"/>
  <c r="EY218" i="1"/>
  <c r="EZ218" i="1" s="1"/>
  <c r="EW218" i="1"/>
  <c r="EX218" i="1" s="1"/>
  <c r="CB99" i="1"/>
  <c r="CE98" i="1"/>
  <c r="CI98" i="1"/>
  <c r="FY96" i="1"/>
  <c r="GA96" i="1"/>
  <c r="GG96" i="1" s="1"/>
  <c r="FS96" i="1" s="1"/>
  <c r="FO96" i="1" s="1"/>
  <c r="FL96" i="1" s="1"/>
  <c r="FK96" i="1" s="1"/>
  <c r="FT96" i="1"/>
  <c r="FW96" i="1"/>
  <c r="FV96" i="1"/>
  <c r="DJ97" i="1"/>
  <c r="DG98" i="1"/>
  <c r="DN97" i="1"/>
  <c r="EQ99" i="1"/>
  <c r="ER99" i="1"/>
  <c r="ET99" i="1"/>
  <c r="EO99" i="1"/>
  <c r="EV99" i="1"/>
  <c r="FB99" i="1" s="1"/>
  <c r="FN98" i="1"/>
  <c r="FQ97" i="1"/>
  <c r="FU97" i="1"/>
  <c r="FX95" i="1"/>
  <c r="GD95" i="1"/>
  <c r="GE95" i="1" s="1"/>
  <c r="GF95" i="1"/>
  <c r="GB95" i="1"/>
  <c r="GC95" i="1" s="1"/>
  <c r="FZ95" i="1"/>
  <c r="DQ95" i="1"/>
  <c r="DS95" i="1"/>
  <c r="DU95" i="1"/>
  <c r="DV95" i="1" s="1"/>
  <c r="DL95" i="1"/>
  <c r="DH95" i="1" s="1"/>
  <c r="DE95" i="1" s="1"/>
  <c r="DD95" i="1" s="1"/>
  <c r="DW95" i="1"/>
  <c r="DX95" i="1" s="1"/>
  <c r="DY95" i="1"/>
  <c r="EI101" i="1"/>
  <c r="EL100" i="1"/>
  <c r="EP100" i="1"/>
  <c r="CN96" i="1"/>
  <c r="CP96" i="1"/>
  <c r="CQ96" i="1" s="1"/>
  <c r="CG96" i="1"/>
  <c r="CC96" i="1" s="1"/>
  <c r="BZ96" i="1" s="1"/>
  <c r="BY96" i="1" s="1"/>
  <c r="CR96" i="1"/>
  <c r="CS96" i="1" s="1"/>
  <c r="CL96" i="1"/>
  <c r="CT96" i="1"/>
  <c r="CM97" i="1"/>
  <c r="CO97" i="1"/>
  <c r="CU97" i="1" s="1"/>
  <c r="CH97" i="1"/>
  <c r="CJ97" i="1"/>
  <c r="CK97" i="1"/>
  <c r="FA98" i="1"/>
  <c r="EN98" i="1"/>
  <c r="EJ98" i="1" s="1"/>
  <c r="EG98" i="1" s="1"/>
  <c r="EF98" i="1" s="1"/>
  <c r="EW98" i="1"/>
  <c r="EX98" i="1" s="1"/>
  <c r="EU98" i="1"/>
  <c r="ES98" i="1"/>
  <c r="EY98" i="1"/>
  <c r="EZ98" i="1" s="1"/>
  <c r="DM96" i="1"/>
  <c r="DO96" i="1"/>
  <c r="DP96" i="1"/>
  <c r="DT96" i="1"/>
  <c r="DZ96" i="1" s="1"/>
  <c r="DR96" i="1"/>
  <c r="FZ338" i="1" l="1"/>
  <c r="FX338" i="1"/>
  <c r="GB338" i="1"/>
  <c r="GC338" i="1" s="1"/>
  <c r="GF338" i="1"/>
  <c r="GD338" i="1"/>
  <c r="GE338" i="1" s="1"/>
  <c r="DP217" i="1"/>
  <c r="DM217" i="1"/>
  <c r="DT217" i="1"/>
  <c r="DZ217" i="1" s="1"/>
  <c r="DR217" i="1"/>
  <c r="DO217" i="1"/>
  <c r="DY337" i="1"/>
  <c r="DQ337" i="1"/>
  <c r="DL337" i="1"/>
  <c r="DH337" i="1" s="1"/>
  <c r="DE337" i="1" s="1"/>
  <c r="DD337" i="1" s="1"/>
  <c r="DU337" i="1"/>
  <c r="DV337" i="1" s="1"/>
  <c r="DW337" i="1"/>
  <c r="DX337" i="1" s="1"/>
  <c r="DS337" i="1"/>
  <c r="GD216" i="1"/>
  <c r="GE216" i="1" s="1"/>
  <c r="FX216" i="1"/>
  <c r="GF216" i="1"/>
  <c r="GB216" i="1"/>
  <c r="GC216" i="1" s="1"/>
  <c r="FZ216" i="1"/>
  <c r="DM338" i="1"/>
  <c r="DO338" i="1"/>
  <c r="DP338" i="1"/>
  <c r="DR338" i="1"/>
  <c r="DT338" i="1"/>
  <c r="DZ338" i="1" s="1"/>
  <c r="DG219" i="1"/>
  <c r="DJ218" i="1"/>
  <c r="DN218" i="1"/>
  <c r="DJ339" i="1"/>
  <c r="DN339" i="1"/>
  <c r="FY339" i="1"/>
  <c r="FW339" i="1"/>
  <c r="FT339" i="1"/>
  <c r="FV339" i="1"/>
  <c r="GA339" i="1"/>
  <c r="GG339" i="1" s="1"/>
  <c r="FS339" i="1" s="1"/>
  <c r="FO339" i="1" s="1"/>
  <c r="FL339" i="1" s="1"/>
  <c r="FK339" i="1" s="1"/>
  <c r="FQ218" i="1"/>
  <c r="FU218" i="1"/>
  <c r="FN219" i="1"/>
  <c r="FQ340" i="1"/>
  <c r="FU340" i="1"/>
  <c r="FV217" i="1"/>
  <c r="FT217" i="1"/>
  <c r="FY217" i="1"/>
  <c r="FW217" i="1"/>
  <c r="GA217" i="1"/>
  <c r="GG217" i="1" s="1"/>
  <c r="FS217" i="1" s="1"/>
  <c r="FO217" i="1" s="1"/>
  <c r="FL217" i="1" s="1"/>
  <c r="FK217" i="1" s="1"/>
  <c r="DY216" i="1"/>
  <c r="DW216" i="1"/>
  <c r="DX216" i="1" s="1"/>
  <c r="DL216" i="1"/>
  <c r="DH216" i="1" s="1"/>
  <c r="DE216" i="1" s="1"/>
  <c r="DD216" i="1" s="1"/>
  <c r="DQ216" i="1"/>
  <c r="DU216" i="1"/>
  <c r="DV216" i="1" s="1"/>
  <c r="DS216" i="1"/>
  <c r="EW339" i="1"/>
  <c r="EX339" i="1" s="1"/>
  <c r="FA339" i="1"/>
  <c r="EN339" i="1"/>
  <c r="EJ339" i="1" s="1"/>
  <c r="EG339" i="1" s="1"/>
  <c r="EF339" i="1" s="1"/>
  <c r="EU339" i="1"/>
  <c r="ES339" i="1"/>
  <c r="EY339" i="1"/>
  <c r="EZ339" i="1" s="1"/>
  <c r="CO340" i="1"/>
  <c r="CU340" i="1" s="1"/>
  <c r="CK340" i="1"/>
  <c r="CJ340" i="1"/>
  <c r="CH340" i="1"/>
  <c r="CM340" i="1"/>
  <c r="DG340" i="1"/>
  <c r="FN341" i="1"/>
  <c r="CB342" i="1"/>
  <c r="CI341" i="1"/>
  <c r="CE341" i="1"/>
  <c r="EP341" i="1"/>
  <c r="EL341" i="1"/>
  <c r="EI342" i="1"/>
  <c r="ET340" i="1"/>
  <c r="ER340" i="1"/>
  <c r="EO340" i="1"/>
  <c r="EV340" i="1"/>
  <c r="FB340" i="1" s="1"/>
  <c r="EQ340" i="1"/>
  <c r="CR339" i="1"/>
  <c r="CS339" i="1" s="1"/>
  <c r="CG339" i="1"/>
  <c r="CC339" i="1" s="1"/>
  <c r="BZ339" i="1" s="1"/>
  <c r="BY339" i="1" s="1"/>
  <c r="CP339" i="1"/>
  <c r="CQ339" i="1" s="1"/>
  <c r="CN339" i="1"/>
  <c r="CT339" i="1"/>
  <c r="CL339" i="1"/>
  <c r="EY219" i="1"/>
  <c r="EZ219" i="1" s="1"/>
  <c r="EW219" i="1"/>
  <c r="EX219" i="1" s="1"/>
  <c r="EN219" i="1"/>
  <c r="EJ219" i="1" s="1"/>
  <c r="EG219" i="1" s="1"/>
  <c r="EF219" i="1" s="1"/>
  <c r="EU219" i="1"/>
  <c r="FA219" i="1"/>
  <c r="ES219" i="1"/>
  <c r="EP221" i="1"/>
  <c r="EI222" i="1"/>
  <c r="EL221" i="1"/>
  <c r="CB223" i="1"/>
  <c r="CE222" i="1"/>
  <c r="CI222" i="1"/>
  <c r="CK221" i="1"/>
  <c r="CJ221" i="1"/>
  <c r="CM221" i="1"/>
  <c r="CH221" i="1"/>
  <c r="CO221" i="1"/>
  <c r="CU221" i="1" s="1"/>
  <c r="CP220" i="1"/>
  <c r="CQ220" i="1" s="1"/>
  <c r="CG220" i="1"/>
  <c r="CC220" i="1" s="1"/>
  <c r="BZ220" i="1" s="1"/>
  <c r="BY220" i="1" s="1"/>
  <c r="CN220" i="1"/>
  <c r="CR220" i="1"/>
  <c r="CS220" i="1" s="1"/>
  <c r="CT220" i="1"/>
  <c r="CL220" i="1"/>
  <c r="ET220" i="1"/>
  <c r="ER220" i="1"/>
  <c r="EQ220" i="1"/>
  <c r="EO220" i="1"/>
  <c r="EV220" i="1"/>
  <c r="FB220" i="1" s="1"/>
  <c r="EL101" i="1"/>
  <c r="EI102" i="1"/>
  <c r="EP101" i="1"/>
  <c r="EW99" i="1"/>
  <c r="EX99" i="1" s="1"/>
  <c r="ES99" i="1"/>
  <c r="EU99" i="1"/>
  <c r="FA99" i="1"/>
  <c r="EY99" i="1"/>
  <c r="EZ99" i="1" s="1"/>
  <c r="EN99" i="1"/>
  <c r="EJ99" i="1" s="1"/>
  <c r="EG99" i="1" s="1"/>
  <c r="EF99" i="1" s="1"/>
  <c r="GB96" i="1"/>
  <c r="GC96" i="1" s="1"/>
  <c r="GD96" i="1"/>
  <c r="GE96" i="1" s="1"/>
  <c r="FX96" i="1"/>
  <c r="GF96" i="1"/>
  <c r="FZ96" i="1"/>
  <c r="GA97" i="1"/>
  <c r="GG97" i="1" s="1"/>
  <c r="FS97" i="1" s="1"/>
  <c r="FO97" i="1" s="1"/>
  <c r="FL97" i="1" s="1"/>
  <c r="FK97" i="1" s="1"/>
  <c r="FV97" i="1"/>
  <c r="FT97" i="1"/>
  <c r="FW97" i="1"/>
  <c r="FY97" i="1"/>
  <c r="DO97" i="1"/>
  <c r="DR97" i="1"/>
  <c r="DT97" i="1"/>
  <c r="DZ97" i="1" s="1"/>
  <c r="DP97" i="1"/>
  <c r="DM97" i="1"/>
  <c r="CH98" i="1"/>
  <c r="CJ98" i="1"/>
  <c r="CK98" i="1"/>
  <c r="CO98" i="1"/>
  <c r="CU98" i="1" s="1"/>
  <c r="CM98" i="1"/>
  <c r="CP97" i="1"/>
  <c r="CQ97" i="1" s="1"/>
  <c r="CL97" i="1"/>
  <c r="CR97" i="1"/>
  <c r="CS97" i="1" s="1"/>
  <c r="CN97" i="1"/>
  <c r="CT97" i="1"/>
  <c r="CG97" i="1"/>
  <c r="CC97" i="1" s="1"/>
  <c r="BZ97" i="1" s="1"/>
  <c r="BY97" i="1" s="1"/>
  <c r="DJ98" i="1"/>
  <c r="DG99" i="1"/>
  <c r="DN98" i="1"/>
  <c r="DL96" i="1"/>
  <c r="DH96" i="1" s="1"/>
  <c r="DE96" i="1" s="1"/>
  <c r="DD96" i="1" s="1"/>
  <c r="DS96" i="1"/>
  <c r="DU96" i="1"/>
  <c r="DV96" i="1" s="1"/>
  <c r="DY96" i="1"/>
  <c r="DW96" i="1"/>
  <c r="DX96" i="1" s="1"/>
  <c r="DQ96" i="1"/>
  <c r="ER100" i="1"/>
  <c r="ET100" i="1"/>
  <c r="EO100" i="1"/>
  <c r="EQ100" i="1"/>
  <c r="EV100" i="1"/>
  <c r="FB100" i="1" s="1"/>
  <c r="FN99" i="1"/>
  <c r="FQ98" i="1"/>
  <c r="FU98" i="1"/>
  <c r="CB100" i="1"/>
  <c r="CE99" i="1"/>
  <c r="CI99" i="1"/>
  <c r="FQ341" i="1" l="1"/>
  <c r="FU341" i="1"/>
  <c r="DJ340" i="1"/>
  <c r="DN340" i="1"/>
  <c r="FQ219" i="1"/>
  <c r="FU219" i="1"/>
  <c r="FN220" i="1"/>
  <c r="DP339" i="1"/>
  <c r="DR339" i="1"/>
  <c r="DO339" i="1"/>
  <c r="DM339" i="1"/>
  <c r="DT339" i="1"/>
  <c r="DZ339" i="1" s="1"/>
  <c r="DQ217" i="1"/>
  <c r="DY217" i="1"/>
  <c r="DS217" i="1"/>
  <c r="DL217" i="1"/>
  <c r="DH217" i="1" s="1"/>
  <c r="DE217" i="1" s="1"/>
  <c r="DD217" i="1" s="1"/>
  <c r="DW217" i="1"/>
  <c r="DX217" i="1" s="1"/>
  <c r="DU217" i="1"/>
  <c r="DV217" i="1" s="1"/>
  <c r="FV218" i="1"/>
  <c r="FW218" i="1"/>
  <c r="FT218" i="1"/>
  <c r="FY218" i="1"/>
  <c r="GA218" i="1"/>
  <c r="GG218" i="1" s="1"/>
  <c r="FS218" i="1" s="1"/>
  <c r="FO218" i="1" s="1"/>
  <c r="FL218" i="1" s="1"/>
  <c r="FK218" i="1" s="1"/>
  <c r="DW338" i="1"/>
  <c r="DX338" i="1" s="1"/>
  <c r="DL338" i="1"/>
  <c r="DH338" i="1" s="1"/>
  <c r="DE338" i="1" s="1"/>
  <c r="DD338" i="1" s="1"/>
  <c r="DQ338" i="1"/>
  <c r="DY338" i="1"/>
  <c r="DU338" i="1"/>
  <c r="DV338" i="1" s="1"/>
  <c r="DS338" i="1"/>
  <c r="DP218" i="1"/>
  <c r="DR218" i="1"/>
  <c r="DT218" i="1"/>
  <c r="DZ218" i="1" s="1"/>
  <c r="DM218" i="1"/>
  <c r="DO218" i="1"/>
  <c r="GF217" i="1"/>
  <c r="GB217" i="1"/>
  <c r="GC217" i="1" s="1"/>
  <c r="GD217" i="1"/>
  <c r="GE217" i="1" s="1"/>
  <c r="FX217" i="1"/>
  <c r="FZ217" i="1"/>
  <c r="DG220" i="1"/>
  <c r="DN219" i="1"/>
  <c r="DJ219" i="1"/>
  <c r="GD339" i="1"/>
  <c r="GE339" i="1" s="1"/>
  <c r="FZ339" i="1"/>
  <c r="FX339" i="1"/>
  <c r="GF339" i="1"/>
  <c r="GB339" i="1"/>
  <c r="GC339" i="1" s="1"/>
  <c r="FW340" i="1"/>
  <c r="FT340" i="1"/>
  <c r="FY340" i="1"/>
  <c r="FV340" i="1"/>
  <c r="GA340" i="1"/>
  <c r="GG340" i="1" s="1"/>
  <c r="FS340" i="1" s="1"/>
  <c r="FO340" i="1" s="1"/>
  <c r="FL340" i="1" s="1"/>
  <c r="FK340" i="1" s="1"/>
  <c r="DG341" i="1"/>
  <c r="CG340" i="1"/>
  <c r="CC340" i="1" s="1"/>
  <c r="BZ340" i="1" s="1"/>
  <c r="BY340" i="1" s="1"/>
  <c r="CN340" i="1"/>
  <c r="CR340" i="1"/>
  <c r="CS340" i="1" s="1"/>
  <c r="CL340" i="1"/>
  <c r="CP340" i="1"/>
  <c r="CQ340" i="1" s="1"/>
  <c r="CT340" i="1"/>
  <c r="EP342" i="1"/>
  <c r="EL342" i="1"/>
  <c r="EI343" i="1"/>
  <c r="CK341" i="1"/>
  <c r="CJ341" i="1"/>
  <c r="CO341" i="1"/>
  <c r="CU341" i="1" s="1"/>
  <c r="CH341" i="1"/>
  <c r="CM341" i="1"/>
  <c r="EO341" i="1"/>
  <c r="ET341" i="1"/>
  <c r="EV341" i="1"/>
  <c r="FB341" i="1" s="1"/>
  <c r="EQ341" i="1"/>
  <c r="ER341" i="1"/>
  <c r="CB343" i="1"/>
  <c r="CE342" i="1"/>
  <c r="CI342" i="1"/>
  <c r="FA340" i="1"/>
  <c r="ES340" i="1"/>
  <c r="EU340" i="1"/>
  <c r="EN340" i="1"/>
  <c r="EJ340" i="1" s="1"/>
  <c r="EG340" i="1" s="1"/>
  <c r="EF340" i="1" s="1"/>
  <c r="EW340" i="1"/>
  <c r="EX340" i="1" s="1"/>
  <c r="EY340" i="1"/>
  <c r="EZ340" i="1" s="1"/>
  <c r="FN342" i="1"/>
  <c r="CT221" i="1"/>
  <c r="CL221" i="1"/>
  <c r="CR221" i="1"/>
  <c r="CS221" i="1" s="1"/>
  <c r="CP221" i="1"/>
  <c r="CQ221" i="1" s="1"/>
  <c r="CN221" i="1"/>
  <c r="CG221" i="1"/>
  <c r="CC221" i="1" s="1"/>
  <c r="BZ221" i="1" s="1"/>
  <c r="BY221" i="1" s="1"/>
  <c r="CI223" i="1"/>
  <c r="CE223" i="1"/>
  <c r="CB224" i="1"/>
  <c r="EL222" i="1"/>
  <c r="EI223" i="1"/>
  <c r="EP222" i="1"/>
  <c r="EQ221" i="1"/>
  <c r="EO221" i="1"/>
  <c r="EV221" i="1"/>
  <c r="FB221" i="1" s="1"/>
  <c r="ET221" i="1"/>
  <c r="ER221" i="1"/>
  <c r="CH222" i="1"/>
  <c r="CO222" i="1"/>
  <c r="CU222" i="1" s="1"/>
  <c r="CM222" i="1"/>
  <c r="CK222" i="1"/>
  <c r="CJ222" i="1"/>
  <c r="EU220" i="1"/>
  <c r="FA220" i="1"/>
  <c r="ES220" i="1"/>
  <c r="EN220" i="1"/>
  <c r="EJ220" i="1" s="1"/>
  <c r="EG220" i="1" s="1"/>
  <c r="EF220" i="1" s="1"/>
  <c r="EY220" i="1"/>
  <c r="EZ220" i="1" s="1"/>
  <c r="EW220" i="1"/>
  <c r="EX220" i="1" s="1"/>
  <c r="DU97" i="1"/>
  <c r="DV97" i="1" s="1"/>
  <c r="DY97" i="1"/>
  <c r="DL97" i="1"/>
  <c r="DH97" i="1" s="1"/>
  <c r="DE97" i="1" s="1"/>
  <c r="DD97" i="1" s="1"/>
  <c r="DW97" i="1"/>
  <c r="DX97" i="1" s="1"/>
  <c r="DS97" i="1"/>
  <c r="DQ97" i="1"/>
  <c r="CJ99" i="1"/>
  <c r="CM99" i="1"/>
  <c r="CK99" i="1"/>
  <c r="CO99" i="1"/>
  <c r="CU99" i="1" s="1"/>
  <c r="CH99" i="1"/>
  <c r="CB101" i="1"/>
  <c r="CE100" i="1"/>
  <c r="CI100" i="1"/>
  <c r="DJ99" i="1"/>
  <c r="DG100" i="1"/>
  <c r="DN99" i="1"/>
  <c r="EW100" i="1"/>
  <c r="EX100" i="1" s="1"/>
  <c r="EY100" i="1"/>
  <c r="EZ100" i="1" s="1"/>
  <c r="EN100" i="1"/>
  <c r="EJ100" i="1" s="1"/>
  <c r="EG100" i="1" s="1"/>
  <c r="EF100" i="1" s="1"/>
  <c r="ES100" i="1"/>
  <c r="FA100" i="1"/>
  <c r="EU100" i="1"/>
  <c r="ET101" i="1"/>
  <c r="EO101" i="1"/>
  <c r="EV101" i="1"/>
  <c r="FB101" i="1" s="1"/>
  <c r="ER101" i="1"/>
  <c r="EQ101" i="1"/>
  <c r="FT98" i="1"/>
  <c r="FW98" i="1"/>
  <c r="FY98" i="1"/>
  <c r="GA98" i="1"/>
  <c r="GG98" i="1" s="1"/>
  <c r="FS98" i="1" s="1"/>
  <c r="FO98" i="1" s="1"/>
  <c r="FL98" i="1" s="1"/>
  <c r="FK98" i="1" s="1"/>
  <c r="FV98" i="1"/>
  <c r="FN100" i="1"/>
  <c r="FQ99" i="1"/>
  <c r="FU99" i="1"/>
  <c r="EL102" i="1"/>
  <c r="EI103" i="1"/>
  <c r="EP102" i="1"/>
  <c r="DR98" i="1"/>
  <c r="DT98" i="1"/>
  <c r="DZ98" i="1" s="1"/>
  <c r="DO98" i="1"/>
  <c r="DP98" i="1"/>
  <c r="DM98" i="1"/>
  <c r="CR98" i="1"/>
  <c r="CS98" i="1" s="1"/>
  <c r="CL98" i="1"/>
  <c r="CP98" i="1"/>
  <c r="CQ98" i="1" s="1"/>
  <c r="CN98" i="1"/>
  <c r="CT98" i="1"/>
  <c r="CG98" i="1"/>
  <c r="CC98" i="1" s="1"/>
  <c r="BZ98" i="1" s="1"/>
  <c r="BY98" i="1" s="1"/>
  <c r="GF97" i="1"/>
  <c r="GB97" i="1"/>
  <c r="GC97" i="1" s="1"/>
  <c r="GD97" i="1"/>
  <c r="GE97" i="1" s="1"/>
  <c r="FX97" i="1"/>
  <c r="FZ97" i="1"/>
  <c r="DG221" i="1" l="1"/>
  <c r="DJ220" i="1"/>
  <c r="DN220" i="1"/>
  <c r="FQ220" i="1"/>
  <c r="FU220" i="1"/>
  <c r="FN221" i="1"/>
  <c r="FT219" i="1"/>
  <c r="FV219" i="1"/>
  <c r="FW219" i="1"/>
  <c r="FY219" i="1"/>
  <c r="GA219" i="1"/>
  <c r="GG219" i="1" s="1"/>
  <c r="FS219" i="1" s="1"/>
  <c r="FO219" i="1" s="1"/>
  <c r="FL219" i="1" s="1"/>
  <c r="FK219" i="1" s="1"/>
  <c r="GB218" i="1"/>
  <c r="GC218" i="1" s="1"/>
  <c r="GF218" i="1"/>
  <c r="FZ218" i="1"/>
  <c r="GD218" i="1"/>
  <c r="GE218" i="1" s="1"/>
  <c r="FX218" i="1"/>
  <c r="DM340" i="1"/>
  <c r="DR340" i="1"/>
  <c r="DP340" i="1"/>
  <c r="DO340" i="1"/>
  <c r="DT340" i="1"/>
  <c r="DZ340" i="1" s="1"/>
  <c r="DJ341" i="1"/>
  <c r="DN341" i="1"/>
  <c r="DW339" i="1"/>
  <c r="DX339" i="1" s="1"/>
  <c r="DQ339" i="1"/>
  <c r="DY339" i="1"/>
  <c r="DS339" i="1"/>
  <c r="DL339" i="1"/>
  <c r="DH339" i="1" s="1"/>
  <c r="DE339" i="1" s="1"/>
  <c r="DD339" i="1" s="1"/>
  <c r="DU339" i="1"/>
  <c r="DV339" i="1" s="1"/>
  <c r="FQ342" i="1"/>
  <c r="FU342" i="1"/>
  <c r="FV341" i="1"/>
  <c r="FW341" i="1"/>
  <c r="FY341" i="1"/>
  <c r="FT341" i="1"/>
  <c r="GA341" i="1"/>
  <c r="GG341" i="1" s="1"/>
  <c r="FS341" i="1" s="1"/>
  <c r="FO341" i="1" s="1"/>
  <c r="FL341" i="1" s="1"/>
  <c r="FK341" i="1" s="1"/>
  <c r="GF340" i="1"/>
  <c r="GD340" i="1"/>
  <c r="GE340" i="1" s="1"/>
  <c r="GB340" i="1"/>
  <c r="GC340" i="1" s="1"/>
  <c r="FZ340" i="1"/>
  <c r="FX340" i="1"/>
  <c r="DR219" i="1"/>
  <c r="DT219" i="1"/>
  <c r="DZ219" i="1" s="1"/>
  <c r="DO219" i="1"/>
  <c r="DM219" i="1"/>
  <c r="DP219" i="1"/>
  <c r="DS218" i="1"/>
  <c r="DQ218" i="1"/>
  <c r="DY218" i="1"/>
  <c r="DU218" i="1"/>
  <c r="DV218" i="1" s="1"/>
  <c r="DL218" i="1"/>
  <c r="DH218" i="1" s="1"/>
  <c r="DE218" i="1" s="1"/>
  <c r="DD218" i="1" s="1"/>
  <c r="DW218" i="1"/>
  <c r="DX218" i="1" s="1"/>
  <c r="DG342" i="1"/>
  <c r="EW341" i="1"/>
  <c r="EX341" i="1" s="1"/>
  <c r="EU341" i="1"/>
  <c r="FA341" i="1"/>
  <c r="EY341" i="1"/>
  <c r="EZ341" i="1" s="1"/>
  <c r="ES341" i="1"/>
  <c r="EN341" i="1"/>
  <c r="EJ341" i="1" s="1"/>
  <c r="EG341" i="1" s="1"/>
  <c r="EF341" i="1" s="1"/>
  <c r="ET342" i="1"/>
  <c r="EV342" i="1"/>
  <c r="FB342" i="1" s="1"/>
  <c r="ER342" i="1"/>
  <c r="EQ342" i="1"/>
  <c r="EO342" i="1"/>
  <c r="FN343" i="1"/>
  <c r="CO342" i="1"/>
  <c r="CU342" i="1" s="1"/>
  <c r="CK342" i="1"/>
  <c r="CJ342" i="1"/>
  <c r="CM342" i="1"/>
  <c r="CH342" i="1"/>
  <c r="CR341" i="1"/>
  <c r="CS341" i="1" s="1"/>
  <c r="CG341" i="1"/>
  <c r="CC341" i="1" s="1"/>
  <c r="BZ341" i="1" s="1"/>
  <c r="BY341" i="1" s="1"/>
  <c r="CP341" i="1"/>
  <c r="CQ341" i="1" s="1"/>
  <c r="CT341" i="1"/>
  <c r="CL341" i="1"/>
  <c r="CN341" i="1"/>
  <c r="CB344" i="1"/>
  <c r="CI343" i="1"/>
  <c r="CE343" i="1"/>
  <c r="EP343" i="1"/>
  <c r="EI344" i="1"/>
  <c r="EL343" i="1"/>
  <c r="CB225" i="1"/>
  <c r="CE224" i="1"/>
  <c r="CI224" i="1"/>
  <c r="CM223" i="1"/>
  <c r="CK223" i="1"/>
  <c r="CJ223" i="1"/>
  <c r="CO223" i="1"/>
  <c r="CU223" i="1" s="1"/>
  <c r="CH223" i="1"/>
  <c r="CP222" i="1"/>
  <c r="CQ222" i="1" s="1"/>
  <c r="CG222" i="1"/>
  <c r="CC222" i="1" s="1"/>
  <c r="BZ222" i="1" s="1"/>
  <c r="BY222" i="1" s="1"/>
  <c r="CN222" i="1"/>
  <c r="CR222" i="1"/>
  <c r="CS222" i="1" s="1"/>
  <c r="CT222" i="1"/>
  <c r="CL222" i="1"/>
  <c r="ET222" i="1"/>
  <c r="ER222" i="1"/>
  <c r="EQ222" i="1"/>
  <c r="EO222" i="1"/>
  <c r="EV222" i="1"/>
  <c r="FB222" i="1" s="1"/>
  <c r="EY221" i="1"/>
  <c r="EZ221" i="1" s="1"/>
  <c r="EW221" i="1"/>
  <c r="EX221" i="1" s="1"/>
  <c r="EN221" i="1"/>
  <c r="EJ221" i="1" s="1"/>
  <c r="EG221" i="1" s="1"/>
  <c r="EF221" i="1" s="1"/>
  <c r="EU221" i="1"/>
  <c r="FA221" i="1"/>
  <c r="ES221" i="1"/>
  <c r="EL223" i="1"/>
  <c r="EP223" i="1"/>
  <c r="EI224" i="1"/>
  <c r="DJ100" i="1"/>
  <c r="DG101" i="1"/>
  <c r="DN100" i="1"/>
  <c r="EV102" i="1"/>
  <c r="FB102" i="1" s="1"/>
  <c r="EO102" i="1"/>
  <c r="EQ102" i="1"/>
  <c r="ER102" i="1"/>
  <c r="ET102" i="1"/>
  <c r="EL103" i="1"/>
  <c r="EI104" i="1"/>
  <c r="EP103" i="1"/>
  <c r="CK100" i="1"/>
  <c r="CM100" i="1"/>
  <c r="CO100" i="1"/>
  <c r="CU100" i="1" s="1"/>
  <c r="CH100" i="1"/>
  <c r="CJ100" i="1"/>
  <c r="GB98" i="1"/>
  <c r="GC98" i="1" s="1"/>
  <c r="FZ98" i="1"/>
  <c r="GF98" i="1"/>
  <c r="GD98" i="1"/>
  <c r="GE98" i="1" s="1"/>
  <c r="FX98" i="1"/>
  <c r="GA99" i="1"/>
  <c r="GG99" i="1" s="1"/>
  <c r="FS99" i="1" s="1"/>
  <c r="FO99" i="1" s="1"/>
  <c r="FL99" i="1" s="1"/>
  <c r="FK99" i="1" s="1"/>
  <c r="FV99" i="1"/>
  <c r="FW99" i="1"/>
  <c r="FY99" i="1"/>
  <c r="FT99" i="1"/>
  <c r="CB102" i="1"/>
  <c r="CE101" i="1"/>
  <c r="CI101" i="1"/>
  <c r="CR99" i="1"/>
  <c r="CS99" i="1" s="1"/>
  <c r="CL99" i="1"/>
  <c r="CN99" i="1"/>
  <c r="CP99" i="1"/>
  <c r="CQ99" i="1" s="1"/>
  <c r="CG99" i="1"/>
  <c r="CC99" i="1" s="1"/>
  <c r="BZ99" i="1" s="1"/>
  <c r="BY99" i="1" s="1"/>
  <c r="CT99" i="1"/>
  <c r="FN101" i="1"/>
  <c r="FQ100" i="1"/>
  <c r="FU100" i="1"/>
  <c r="DW98" i="1"/>
  <c r="DX98" i="1" s="1"/>
  <c r="DU98" i="1"/>
  <c r="DV98" i="1" s="1"/>
  <c r="DY98" i="1"/>
  <c r="DQ98" i="1"/>
  <c r="DS98" i="1"/>
  <c r="DL98" i="1"/>
  <c r="DH98" i="1" s="1"/>
  <c r="DE98" i="1" s="1"/>
  <c r="DD98" i="1" s="1"/>
  <c r="EU101" i="1"/>
  <c r="ES101" i="1"/>
  <c r="EN101" i="1"/>
  <c r="EJ101" i="1" s="1"/>
  <c r="EG101" i="1" s="1"/>
  <c r="EF101" i="1" s="1"/>
  <c r="EW101" i="1"/>
  <c r="EX101" i="1" s="1"/>
  <c r="FA101" i="1"/>
  <c r="EY101" i="1"/>
  <c r="EZ101" i="1" s="1"/>
  <c r="DR99" i="1"/>
  <c r="DP99" i="1"/>
  <c r="DO99" i="1"/>
  <c r="DM99" i="1"/>
  <c r="DT99" i="1"/>
  <c r="DZ99" i="1" s="1"/>
  <c r="FQ343" i="1" l="1"/>
  <c r="FU343" i="1"/>
  <c r="FT342" i="1"/>
  <c r="FV342" i="1"/>
  <c r="FW342" i="1"/>
  <c r="FY342" i="1"/>
  <c r="GA342" i="1"/>
  <c r="GG342" i="1" s="1"/>
  <c r="FS342" i="1" s="1"/>
  <c r="FO342" i="1" s="1"/>
  <c r="FL342" i="1" s="1"/>
  <c r="FK342" i="1" s="1"/>
  <c r="DO341" i="1"/>
  <c r="DP341" i="1"/>
  <c r="DR341" i="1"/>
  <c r="DM341" i="1"/>
  <c r="DT341" i="1"/>
  <c r="DZ341" i="1" s="1"/>
  <c r="FX219" i="1"/>
  <c r="GB219" i="1"/>
  <c r="GC219" i="1" s="1"/>
  <c r="GD219" i="1"/>
  <c r="GE219" i="1" s="1"/>
  <c r="GF219" i="1"/>
  <c r="FZ219" i="1"/>
  <c r="FQ221" i="1"/>
  <c r="FU221" i="1"/>
  <c r="FN222" i="1"/>
  <c r="DW219" i="1"/>
  <c r="DX219" i="1" s="1"/>
  <c r="DQ219" i="1"/>
  <c r="DY219" i="1"/>
  <c r="DU219" i="1"/>
  <c r="DV219" i="1" s="1"/>
  <c r="DS219" i="1"/>
  <c r="DL219" i="1"/>
  <c r="DH219" i="1" s="1"/>
  <c r="DE219" i="1" s="1"/>
  <c r="DD219" i="1" s="1"/>
  <c r="FY220" i="1"/>
  <c r="FV220" i="1"/>
  <c r="FT220" i="1"/>
  <c r="FW220" i="1"/>
  <c r="GA220" i="1"/>
  <c r="GG220" i="1" s="1"/>
  <c r="FS220" i="1" s="1"/>
  <c r="FO220" i="1" s="1"/>
  <c r="FL220" i="1" s="1"/>
  <c r="FK220" i="1" s="1"/>
  <c r="DJ342" i="1"/>
  <c r="DN342" i="1"/>
  <c r="GD341" i="1"/>
  <c r="GE341" i="1" s="1"/>
  <c r="FZ341" i="1"/>
  <c r="FX341" i="1"/>
  <c r="GB341" i="1"/>
  <c r="GC341" i="1" s="1"/>
  <c r="GF341" i="1"/>
  <c r="DT220" i="1"/>
  <c r="DZ220" i="1" s="1"/>
  <c r="DM220" i="1"/>
  <c r="DO220" i="1"/>
  <c r="DP220" i="1"/>
  <c r="DR220" i="1"/>
  <c r="DW340" i="1"/>
  <c r="DX340" i="1" s="1"/>
  <c r="DQ340" i="1"/>
  <c r="DY340" i="1"/>
  <c r="DL340" i="1"/>
  <c r="DH340" i="1" s="1"/>
  <c r="DE340" i="1" s="1"/>
  <c r="DD340" i="1" s="1"/>
  <c r="DU340" i="1"/>
  <c r="DV340" i="1" s="1"/>
  <c r="DS340" i="1"/>
  <c r="DG222" i="1"/>
  <c r="DJ221" i="1"/>
  <c r="DN221" i="1"/>
  <c r="FN344" i="1"/>
  <c r="EI345" i="1"/>
  <c r="EP344" i="1"/>
  <c r="EL344" i="1"/>
  <c r="CK343" i="1"/>
  <c r="CJ343" i="1"/>
  <c r="CO343" i="1"/>
  <c r="CU343" i="1" s="1"/>
  <c r="CH343" i="1"/>
  <c r="CM343" i="1"/>
  <c r="FA342" i="1"/>
  <c r="ES342" i="1"/>
  <c r="EN342" i="1"/>
  <c r="EJ342" i="1" s="1"/>
  <c r="EG342" i="1" s="1"/>
  <c r="EF342" i="1" s="1"/>
  <c r="EY342" i="1"/>
  <c r="EZ342" i="1" s="1"/>
  <c r="EU342" i="1"/>
  <c r="EW342" i="1"/>
  <c r="EX342" i="1" s="1"/>
  <c r="CG342" i="1"/>
  <c r="CC342" i="1" s="1"/>
  <c r="BZ342" i="1" s="1"/>
  <c r="BY342" i="1" s="1"/>
  <c r="CN342" i="1"/>
  <c r="CL342" i="1"/>
  <c r="CR342" i="1"/>
  <c r="CS342" i="1" s="1"/>
  <c r="CP342" i="1"/>
  <c r="CQ342" i="1" s="1"/>
  <c r="CT342" i="1"/>
  <c r="EO343" i="1"/>
  <c r="ET343" i="1"/>
  <c r="EQ343" i="1"/>
  <c r="EV343" i="1"/>
  <c r="FB343" i="1" s="1"/>
  <c r="ER343" i="1"/>
  <c r="CB345" i="1"/>
  <c r="CE344" i="1"/>
  <c r="CI344" i="1"/>
  <c r="DG343" i="1"/>
  <c r="EU222" i="1"/>
  <c r="FA222" i="1"/>
  <c r="ES222" i="1"/>
  <c r="EN222" i="1"/>
  <c r="EJ222" i="1" s="1"/>
  <c r="EG222" i="1" s="1"/>
  <c r="EF222" i="1" s="1"/>
  <c r="EY222" i="1"/>
  <c r="EZ222" i="1" s="1"/>
  <c r="EW222" i="1"/>
  <c r="EX222" i="1" s="1"/>
  <c r="EL224" i="1"/>
  <c r="EP224" i="1"/>
  <c r="EI225" i="1"/>
  <c r="EQ223" i="1"/>
  <c r="EO223" i="1"/>
  <c r="EV223" i="1"/>
  <c r="FB223" i="1" s="1"/>
  <c r="ET223" i="1"/>
  <c r="ER223" i="1"/>
  <c r="CN223" i="1"/>
  <c r="CT223" i="1"/>
  <c r="CL223" i="1"/>
  <c r="CP223" i="1"/>
  <c r="CQ223" i="1" s="1"/>
  <c r="CG223" i="1"/>
  <c r="CC223" i="1" s="1"/>
  <c r="BZ223" i="1" s="1"/>
  <c r="BY223" i="1" s="1"/>
  <c r="CR223" i="1"/>
  <c r="CS223" i="1" s="1"/>
  <c r="CJ224" i="1"/>
  <c r="CH224" i="1"/>
  <c r="CO224" i="1"/>
  <c r="CU224" i="1" s="1"/>
  <c r="CM224" i="1"/>
  <c r="CK224" i="1"/>
  <c r="CE225" i="1"/>
  <c r="CI225" i="1"/>
  <c r="CB226" i="1"/>
  <c r="CR100" i="1"/>
  <c r="CS100" i="1" s="1"/>
  <c r="CN100" i="1"/>
  <c r="CT100" i="1"/>
  <c r="CG100" i="1"/>
  <c r="CC100" i="1" s="1"/>
  <c r="BZ100" i="1" s="1"/>
  <c r="BY100" i="1" s="1"/>
  <c r="CP100" i="1"/>
  <c r="CQ100" i="1" s="1"/>
  <c r="CL100" i="1"/>
  <c r="CK101" i="1"/>
  <c r="CM101" i="1"/>
  <c r="CO101" i="1"/>
  <c r="CU101" i="1" s="1"/>
  <c r="CH101" i="1"/>
  <c r="CJ101" i="1"/>
  <c r="EY102" i="1"/>
  <c r="EZ102" i="1" s="1"/>
  <c r="EW102" i="1"/>
  <c r="EX102" i="1" s="1"/>
  <c r="FA102" i="1"/>
  <c r="EU102" i="1"/>
  <c r="EN102" i="1"/>
  <c r="EJ102" i="1" s="1"/>
  <c r="EG102" i="1" s="1"/>
  <c r="EF102" i="1" s="1"/>
  <c r="ES102" i="1"/>
  <c r="FN102" i="1"/>
  <c r="FQ101" i="1"/>
  <c r="FU101" i="1"/>
  <c r="CE102" i="1"/>
  <c r="CB103" i="1"/>
  <c r="CI102" i="1"/>
  <c r="EO103" i="1"/>
  <c r="EQ103" i="1"/>
  <c r="EV103" i="1"/>
  <c r="FB103" i="1" s="1"/>
  <c r="ER103" i="1"/>
  <c r="ET103" i="1"/>
  <c r="DM100" i="1"/>
  <c r="DO100" i="1"/>
  <c r="DP100" i="1"/>
  <c r="DR100" i="1"/>
  <c r="DT100" i="1"/>
  <c r="DZ100" i="1" s="1"/>
  <c r="DW99" i="1"/>
  <c r="DX99" i="1" s="1"/>
  <c r="DU99" i="1"/>
  <c r="DV99" i="1" s="1"/>
  <c r="DL99" i="1"/>
  <c r="DH99" i="1" s="1"/>
  <c r="DE99" i="1" s="1"/>
  <c r="DD99" i="1" s="1"/>
  <c r="DY99" i="1"/>
  <c r="DQ99" i="1"/>
  <c r="DS99" i="1"/>
  <c r="FZ99" i="1"/>
  <c r="GD99" i="1"/>
  <c r="GE99" i="1" s="1"/>
  <c r="FX99" i="1"/>
  <c r="GB99" i="1"/>
  <c r="GC99" i="1" s="1"/>
  <c r="GF99" i="1"/>
  <c r="EL104" i="1"/>
  <c r="EI105" i="1"/>
  <c r="EP104" i="1"/>
  <c r="DJ101" i="1"/>
  <c r="DG102" i="1"/>
  <c r="DN101" i="1"/>
  <c r="FT100" i="1"/>
  <c r="FW100" i="1"/>
  <c r="FV100" i="1"/>
  <c r="GA100" i="1"/>
  <c r="GG100" i="1" s="1"/>
  <c r="FS100" i="1" s="1"/>
  <c r="FO100" i="1" s="1"/>
  <c r="FL100" i="1" s="1"/>
  <c r="FK100" i="1" s="1"/>
  <c r="FY100" i="1"/>
  <c r="DY220" i="1" l="1"/>
  <c r="DS220" i="1"/>
  <c r="DL220" i="1"/>
  <c r="DH220" i="1" s="1"/>
  <c r="DE220" i="1" s="1"/>
  <c r="DD220" i="1" s="1"/>
  <c r="DW220" i="1"/>
  <c r="DX220" i="1" s="1"/>
  <c r="DU220" i="1"/>
  <c r="DV220" i="1" s="1"/>
  <c r="DQ220" i="1"/>
  <c r="FZ220" i="1"/>
  <c r="FX220" i="1"/>
  <c r="GF220" i="1"/>
  <c r="GD220" i="1"/>
  <c r="GE220" i="1" s="1"/>
  <c r="GB220" i="1"/>
  <c r="GC220" i="1" s="1"/>
  <c r="FQ344" i="1"/>
  <c r="FU344" i="1"/>
  <c r="DO221" i="1"/>
  <c r="DM221" i="1"/>
  <c r="DP221" i="1"/>
  <c r="DR221" i="1"/>
  <c r="DT221" i="1"/>
  <c r="DZ221" i="1" s="1"/>
  <c r="FQ222" i="1"/>
  <c r="FU222" i="1"/>
  <c r="FN223" i="1"/>
  <c r="FW221" i="1"/>
  <c r="FV221" i="1"/>
  <c r="FT221" i="1"/>
  <c r="FY221" i="1"/>
  <c r="GA221" i="1"/>
  <c r="GG221" i="1" s="1"/>
  <c r="FS221" i="1" s="1"/>
  <c r="FO221" i="1" s="1"/>
  <c r="FL221" i="1" s="1"/>
  <c r="FK221" i="1" s="1"/>
  <c r="DL341" i="1"/>
  <c r="DH341" i="1" s="1"/>
  <c r="DE341" i="1" s="1"/>
  <c r="DD341" i="1" s="1"/>
  <c r="DQ341" i="1"/>
  <c r="DY341" i="1"/>
  <c r="DU341" i="1"/>
  <c r="DV341" i="1" s="1"/>
  <c r="DW341" i="1"/>
  <c r="DX341" i="1" s="1"/>
  <c r="DS341" i="1"/>
  <c r="FX342" i="1"/>
  <c r="GB342" i="1"/>
  <c r="GC342" i="1" s="1"/>
  <c r="GD342" i="1"/>
  <c r="GE342" i="1" s="1"/>
  <c r="GF342" i="1"/>
  <c r="FZ342" i="1"/>
  <c r="DJ343" i="1"/>
  <c r="DN343" i="1"/>
  <c r="DG223" i="1"/>
  <c r="DJ222" i="1"/>
  <c r="DN222" i="1"/>
  <c r="FW343" i="1"/>
  <c r="FV343" i="1"/>
  <c r="FY343" i="1"/>
  <c r="FT343" i="1"/>
  <c r="GA343" i="1"/>
  <c r="GG343" i="1" s="1"/>
  <c r="FS343" i="1" s="1"/>
  <c r="FO343" i="1" s="1"/>
  <c r="FL343" i="1" s="1"/>
  <c r="FK343" i="1" s="1"/>
  <c r="DM342" i="1"/>
  <c r="DO342" i="1"/>
  <c r="DP342" i="1"/>
  <c r="DR342" i="1"/>
  <c r="DT342" i="1"/>
  <c r="DZ342" i="1" s="1"/>
  <c r="EW343" i="1"/>
  <c r="EX343" i="1" s="1"/>
  <c r="FA343" i="1"/>
  <c r="EN343" i="1"/>
  <c r="EJ343" i="1" s="1"/>
  <c r="EG343" i="1" s="1"/>
  <c r="EF343" i="1" s="1"/>
  <c r="EY343" i="1"/>
  <c r="EZ343" i="1" s="1"/>
  <c r="ES343" i="1"/>
  <c r="EU343" i="1"/>
  <c r="CO344" i="1"/>
  <c r="CU344" i="1" s="1"/>
  <c r="CK344" i="1"/>
  <c r="CM344" i="1"/>
  <c r="CH344" i="1"/>
  <c r="CJ344" i="1"/>
  <c r="ER344" i="1"/>
  <c r="EV344" i="1"/>
  <c r="FB344" i="1" s="1"/>
  <c r="ET344" i="1"/>
  <c r="EQ344" i="1"/>
  <c r="EO344" i="1"/>
  <c r="DG344" i="1"/>
  <c r="EI346" i="1"/>
  <c r="EP345" i="1"/>
  <c r="EL345" i="1"/>
  <c r="CI345" i="1"/>
  <c r="CB346" i="1"/>
  <c r="CE345" i="1"/>
  <c r="CR343" i="1"/>
  <c r="CS343" i="1" s="1"/>
  <c r="CG343" i="1"/>
  <c r="CC343" i="1" s="1"/>
  <c r="BZ343" i="1" s="1"/>
  <c r="BY343" i="1" s="1"/>
  <c r="CP343" i="1"/>
  <c r="CQ343" i="1" s="1"/>
  <c r="CN343" i="1"/>
  <c r="CL343" i="1"/>
  <c r="CT343" i="1"/>
  <c r="FN345" i="1"/>
  <c r="EO224" i="1"/>
  <c r="ET224" i="1"/>
  <c r="EQ224" i="1"/>
  <c r="EV224" i="1"/>
  <c r="FB224" i="1" s="1"/>
  <c r="ER224" i="1"/>
  <c r="CB227" i="1"/>
  <c r="CE226" i="1"/>
  <c r="CI226" i="1"/>
  <c r="CK225" i="1"/>
  <c r="CJ225" i="1"/>
  <c r="CH225" i="1"/>
  <c r="CO225" i="1"/>
  <c r="CU225" i="1" s="1"/>
  <c r="CM225" i="1"/>
  <c r="CR224" i="1"/>
  <c r="CS224" i="1" s="1"/>
  <c r="CP224" i="1"/>
  <c r="CQ224" i="1" s="1"/>
  <c r="CG224" i="1"/>
  <c r="CC224" i="1" s="1"/>
  <c r="BZ224" i="1" s="1"/>
  <c r="BY224" i="1" s="1"/>
  <c r="CN224" i="1"/>
  <c r="CT224" i="1"/>
  <c r="CL224" i="1"/>
  <c r="FA223" i="1"/>
  <c r="ES223" i="1"/>
  <c r="EY223" i="1"/>
  <c r="EZ223" i="1" s="1"/>
  <c r="EU223" i="1"/>
  <c r="EN223" i="1"/>
  <c r="EJ223" i="1" s="1"/>
  <c r="EG223" i="1" s="1"/>
  <c r="EF223" i="1" s="1"/>
  <c r="EW223" i="1"/>
  <c r="EX223" i="1" s="1"/>
  <c r="EP225" i="1"/>
  <c r="EL225" i="1"/>
  <c r="EI226" i="1"/>
  <c r="EN103" i="1"/>
  <c r="EJ103" i="1" s="1"/>
  <c r="EG103" i="1" s="1"/>
  <c r="EF103" i="1" s="1"/>
  <c r="EW103" i="1"/>
  <c r="EX103" i="1" s="1"/>
  <c r="FA103" i="1"/>
  <c r="EU103" i="1"/>
  <c r="ES103" i="1"/>
  <c r="EY103" i="1"/>
  <c r="EZ103" i="1" s="1"/>
  <c r="CM102" i="1"/>
  <c r="CK102" i="1"/>
  <c r="CH102" i="1"/>
  <c r="CJ102" i="1"/>
  <c r="CO102" i="1"/>
  <c r="CU102" i="1" s="1"/>
  <c r="EI106" i="1"/>
  <c r="EL105" i="1"/>
  <c r="EP105" i="1"/>
  <c r="CB104" i="1"/>
  <c r="CE103" i="1"/>
  <c r="CI103" i="1"/>
  <c r="DQ100" i="1"/>
  <c r="DS100" i="1"/>
  <c r="DL100" i="1"/>
  <c r="DH100" i="1" s="1"/>
  <c r="DE100" i="1" s="1"/>
  <c r="DD100" i="1" s="1"/>
  <c r="DU100" i="1"/>
  <c r="DV100" i="1" s="1"/>
  <c r="DY100" i="1"/>
  <c r="DW100" i="1"/>
  <c r="DX100" i="1" s="1"/>
  <c r="FV101" i="1"/>
  <c r="FY101" i="1"/>
  <c r="FW101" i="1"/>
  <c r="GA101" i="1"/>
  <c r="GG101" i="1" s="1"/>
  <c r="FS101" i="1" s="1"/>
  <c r="FO101" i="1" s="1"/>
  <c r="FL101" i="1" s="1"/>
  <c r="FK101" i="1" s="1"/>
  <c r="FT101" i="1"/>
  <c r="EV104" i="1"/>
  <c r="FB104" i="1" s="1"/>
  <c r="EQ104" i="1"/>
  <c r="EO104" i="1"/>
  <c r="ET104" i="1"/>
  <c r="ER104" i="1"/>
  <c r="GD100" i="1"/>
  <c r="GE100" i="1" s="1"/>
  <c r="FX100" i="1"/>
  <c r="GB100" i="1"/>
  <c r="GC100" i="1" s="1"/>
  <c r="FZ100" i="1"/>
  <c r="GF100" i="1"/>
  <c r="DR101" i="1"/>
  <c r="DT101" i="1"/>
  <c r="DZ101" i="1" s="1"/>
  <c r="DP101" i="1"/>
  <c r="DM101" i="1"/>
  <c r="DO101" i="1"/>
  <c r="FN103" i="1"/>
  <c r="FQ102" i="1"/>
  <c r="FU102" i="1"/>
  <c r="CT101" i="1"/>
  <c r="CR101" i="1"/>
  <c r="CS101" i="1" s="1"/>
  <c r="CG101" i="1"/>
  <c r="CC101" i="1" s="1"/>
  <c r="BZ101" i="1" s="1"/>
  <c r="BY101" i="1" s="1"/>
  <c r="CL101" i="1"/>
  <c r="CN101" i="1"/>
  <c r="CP101" i="1"/>
  <c r="CQ101" i="1" s="1"/>
  <c r="DG103" i="1"/>
  <c r="DJ102" i="1"/>
  <c r="DN102" i="1"/>
  <c r="DY342" i="1" l="1"/>
  <c r="DL342" i="1"/>
  <c r="DH342" i="1" s="1"/>
  <c r="DE342" i="1" s="1"/>
  <c r="DD342" i="1" s="1"/>
  <c r="DQ342" i="1"/>
  <c r="DU342" i="1"/>
  <c r="DV342" i="1" s="1"/>
  <c r="DW342" i="1"/>
  <c r="DX342" i="1" s="1"/>
  <c r="DS342" i="1"/>
  <c r="DG224" i="1"/>
  <c r="DJ223" i="1"/>
  <c r="DN223" i="1"/>
  <c r="FX221" i="1"/>
  <c r="GF221" i="1"/>
  <c r="FZ221" i="1"/>
  <c r="GB221" i="1"/>
  <c r="GC221" i="1" s="1"/>
  <c r="GD221" i="1"/>
  <c r="GE221" i="1" s="1"/>
  <c r="DR343" i="1"/>
  <c r="DP343" i="1"/>
  <c r="DO343" i="1"/>
  <c r="DM343" i="1"/>
  <c r="DT343" i="1"/>
  <c r="DZ343" i="1" s="1"/>
  <c r="DY221" i="1"/>
  <c r="DU221" i="1"/>
  <c r="DV221" i="1" s="1"/>
  <c r="DL221" i="1"/>
  <c r="DH221" i="1" s="1"/>
  <c r="DE221" i="1" s="1"/>
  <c r="DD221" i="1" s="1"/>
  <c r="DW221" i="1"/>
  <c r="DX221" i="1" s="1"/>
  <c r="DQ221" i="1"/>
  <c r="DS221" i="1"/>
  <c r="FX343" i="1"/>
  <c r="GF343" i="1"/>
  <c r="FZ343" i="1"/>
  <c r="GD343" i="1"/>
  <c r="GE343" i="1" s="1"/>
  <c r="GB343" i="1"/>
  <c r="GC343" i="1" s="1"/>
  <c r="FQ223" i="1"/>
  <c r="FU223" i="1"/>
  <c r="FN224" i="1"/>
  <c r="FV344" i="1"/>
  <c r="FT344" i="1"/>
  <c r="FW344" i="1"/>
  <c r="FY344" i="1"/>
  <c r="GA344" i="1"/>
  <c r="GG344" i="1" s="1"/>
  <c r="FS344" i="1" s="1"/>
  <c r="FO344" i="1" s="1"/>
  <c r="FL344" i="1" s="1"/>
  <c r="FK344" i="1" s="1"/>
  <c r="FT222" i="1"/>
  <c r="FV222" i="1"/>
  <c r="FW222" i="1"/>
  <c r="FY222" i="1"/>
  <c r="GA222" i="1"/>
  <c r="GG222" i="1" s="1"/>
  <c r="FS222" i="1" s="1"/>
  <c r="FO222" i="1" s="1"/>
  <c r="FL222" i="1" s="1"/>
  <c r="FK222" i="1" s="1"/>
  <c r="DJ344" i="1"/>
  <c r="DN344" i="1"/>
  <c r="FQ345" i="1"/>
  <c r="FU345" i="1"/>
  <c r="DP222" i="1"/>
  <c r="DM222" i="1"/>
  <c r="DR222" i="1"/>
  <c r="DT222" i="1"/>
  <c r="DZ222" i="1" s="1"/>
  <c r="DO222" i="1"/>
  <c r="EU344" i="1"/>
  <c r="FA344" i="1"/>
  <c r="EW344" i="1"/>
  <c r="EX344" i="1" s="1"/>
  <c r="ES344" i="1"/>
  <c r="EN344" i="1"/>
  <c r="EJ344" i="1" s="1"/>
  <c r="EG344" i="1" s="1"/>
  <c r="EF344" i="1" s="1"/>
  <c r="EY344" i="1"/>
  <c r="EZ344" i="1" s="1"/>
  <c r="FN346" i="1"/>
  <c r="EV345" i="1"/>
  <c r="FB345" i="1" s="1"/>
  <c r="ER345" i="1"/>
  <c r="ET345" i="1"/>
  <c r="EQ345" i="1"/>
  <c r="EO345" i="1"/>
  <c r="EI347" i="1"/>
  <c r="EL346" i="1"/>
  <c r="EP346" i="1"/>
  <c r="CI346" i="1"/>
  <c r="CB347" i="1"/>
  <c r="CE346" i="1"/>
  <c r="DG345" i="1"/>
  <c r="CG344" i="1"/>
  <c r="CC344" i="1" s="1"/>
  <c r="BZ344" i="1" s="1"/>
  <c r="BY344" i="1" s="1"/>
  <c r="CN344" i="1"/>
  <c r="CR344" i="1"/>
  <c r="CS344" i="1" s="1"/>
  <c r="CL344" i="1"/>
  <c r="CT344" i="1"/>
  <c r="CP344" i="1"/>
  <c r="CQ344" i="1" s="1"/>
  <c r="CM345" i="1"/>
  <c r="CH345" i="1"/>
  <c r="CO345" i="1"/>
  <c r="CU345" i="1" s="1"/>
  <c r="CJ345" i="1"/>
  <c r="CK345" i="1"/>
  <c r="EL226" i="1"/>
  <c r="EI227" i="1"/>
  <c r="EP226" i="1"/>
  <c r="EW224" i="1"/>
  <c r="EX224" i="1" s="1"/>
  <c r="EU224" i="1"/>
  <c r="FA224" i="1"/>
  <c r="ES224" i="1"/>
  <c r="EY224" i="1"/>
  <c r="EZ224" i="1" s="1"/>
  <c r="EN224" i="1"/>
  <c r="EJ224" i="1" s="1"/>
  <c r="EG224" i="1" s="1"/>
  <c r="EF224" i="1" s="1"/>
  <c r="EQ225" i="1"/>
  <c r="EO225" i="1"/>
  <c r="ET225" i="1"/>
  <c r="ER225" i="1"/>
  <c r="EV225" i="1"/>
  <c r="FB225" i="1" s="1"/>
  <c r="CJ226" i="1"/>
  <c r="CH226" i="1"/>
  <c r="CO226" i="1"/>
  <c r="CU226" i="1" s="1"/>
  <c r="CK226" i="1"/>
  <c r="CM226" i="1"/>
  <c r="CN225" i="1"/>
  <c r="CT225" i="1"/>
  <c r="CL225" i="1"/>
  <c r="CR225" i="1"/>
  <c r="CS225" i="1" s="1"/>
  <c r="CP225" i="1"/>
  <c r="CQ225" i="1" s="1"/>
  <c r="CG225" i="1"/>
  <c r="CC225" i="1" s="1"/>
  <c r="BZ225" i="1" s="1"/>
  <c r="BY225" i="1" s="1"/>
  <c r="CE227" i="1"/>
  <c r="CI227" i="1"/>
  <c r="CB228" i="1"/>
  <c r="DR102" i="1"/>
  <c r="DP102" i="1"/>
  <c r="DM102" i="1"/>
  <c r="DT102" i="1"/>
  <c r="DZ102" i="1" s="1"/>
  <c r="DO102" i="1"/>
  <c r="FA104" i="1"/>
  <c r="EW104" i="1"/>
  <c r="EX104" i="1" s="1"/>
  <c r="EU104" i="1"/>
  <c r="EY104" i="1"/>
  <c r="EZ104" i="1" s="1"/>
  <c r="EN104" i="1"/>
  <c r="EJ104" i="1" s="1"/>
  <c r="EG104" i="1" s="1"/>
  <c r="EF104" i="1" s="1"/>
  <c r="ES104" i="1"/>
  <c r="CE104" i="1"/>
  <c r="CB105" i="1"/>
  <c r="CI104" i="1"/>
  <c r="ET105" i="1"/>
  <c r="EV105" i="1"/>
  <c r="FB105" i="1" s="1"/>
  <c r="ER105" i="1"/>
  <c r="EQ105" i="1"/>
  <c r="EO105" i="1"/>
  <c r="DJ103" i="1"/>
  <c r="DG104" i="1"/>
  <c r="DN103" i="1"/>
  <c r="FN104" i="1"/>
  <c r="FQ103" i="1"/>
  <c r="FU103" i="1"/>
  <c r="FZ101" i="1"/>
  <c r="FX101" i="1"/>
  <c r="GB101" i="1"/>
  <c r="GC101" i="1" s="1"/>
  <c r="GF101" i="1"/>
  <c r="GD101" i="1"/>
  <c r="GE101" i="1" s="1"/>
  <c r="EL106" i="1"/>
  <c r="EI107" i="1"/>
  <c r="EP106" i="1"/>
  <c r="DW101" i="1"/>
  <c r="DX101" i="1" s="1"/>
  <c r="DY101" i="1"/>
  <c r="DQ101" i="1"/>
  <c r="DU101" i="1"/>
  <c r="DV101" i="1" s="1"/>
  <c r="DL101" i="1"/>
  <c r="DH101" i="1" s="1"/>
  <c r="DE101" i="1" s="1"/>
  <c r="DD101" i="1" s="1"/>
  <c r="DS101" i="1"/>
  <c r="FY102" i="1"/>
  <c r="FW102" i="1"/>
  <c r="FV102" i="1"/>
  <c r="GA102" i="1"/>
  <c r="GG102" i="1" s="1"/>
  <c r="FS102" i="1" s="1"/>
  <c r="FO102" i="1" s="1"/>
  <c r="FL102" i="1" s="1"/>
  <c r="FK102" i="1" s="1"/>
  <c r="FT102" i="1"/>
  <c r="CK103" i="1"/>
  <c r="CO103" i="1"/>
  <c r="CU103" i="1" s="1"/>
  <c r="CH103" i="1"/>
  <c r="CJ103" i="1"/>
  <c r="CM103" i="1"/>
  <c r="CT102" i="1"/>
  <c r="CG102" i="1"/>
  <c r="CC102" i="1" s="1"/>
  <c r="BZ102" i="1" s="1"/>
  <c r="BY102" i="1" s="1"/>
  <c r="CR102" i="1"/>
  <c r="CS102" i="1" s="1"/>
  <c r="CP102" i="1"/>
  <c r="CQ102" i="1" s="1"/>
  <c r="CL102" i="1"/>
  <c r="CN102" i="1"/>
  <c r="FV223" i="1" l="1"/>
  <c r="FT223" i="1"/>
  <c r="FW223" i="1"/>
  <c r="FY223" i="1"/>
  <c r="GA223" i="1"/>
  <c r="GG223" i="1" s="1"/>
  <c r="FS223" i="1" s="1"/>
  <c r="FO223" i="1" s="1"/>
  <c r="FL223" i="1" s="1"/>
  <c r="FK223" i="1" s="1"/>
  <c r="DJ345" i="1"/>
  <c r="DN345" i="1"/>
  <c r="FT345" i="1"/>
  <c r="FV345" i="1"/>
  <c r="FW345" i="1"/>
  <c r="FY345" i="1"/>
  <c r="GA345" i="1"/>
  <c r="GG345" i="1" s="1"/>
  <c r="FS345" i="1" s="1"/>
  <c r="FO345" i="1" s="1"/>
  <c r="FL345" i="1" s="1"/>
  <c r="FK345" i="1" s="1"/>
  <c r="GD222" i="1"/>
  <c r="GE222" i="1" s="1"/>
  <c r="FX222" i="1"/>
  <c r="GB222" i="1"/>
  <c r="GC222" i="1" s="1"/>
  <c r="GF222" i="1"/>
  <c r="FZ222" i="1"/>
  <c r="DG225" i="1"/>
  <c r="DN224" i="1"/>
  <c r="DJ224" i="1"/>
  <c r="DR344" i="1"/>
  <c r="DP344" i="1"/>
  <c r="DM344" i="1"/>
  <c r="DO344" i="1"/>
  <c r="DT344" i="1"/>
  <c r="DZ344" i="1" s="1"/>
  <c r="FQ346" i="1"/>
  <c r="FU346" i="1"/>
  <c r="GD344" i="1"/>
  <c r="GE344" i="1" s="1"/>
  <c r="GB344" i="1"/>
  <c r="GC344" i="1" s="1"/>
  <c r="GF344" i="1"/>
  <c r="FX344" i="1"/>
  <c r="FZ344" i="1"/>
  <c r="DS343" i="1"/>
  <c r="DL343" i="1"/>
  <c r="DH343" i="1" s="1"/>
  <c r="DE343" i="1" s="1"/>
  <c r="DD343" i="1" s="1"/>
  <c r="DU343" i="1"/>
  <c r="DV343" i="1" s="1"/>
  <c r="DW343" i="1"/>
  <c r="DX343" i="1" s="1"/>
  <c r="DQ343" i="1"/>
  <c r="DY343" i="1"/>
  <c r="DS222" i="1"/>
  <c r="DL222" i="1"/>
  <c r="DH222" i="1" s="1"/>
  <c r="DE222" i="1" s="1"/>
  <c r="DD222" i="1" s="1"/>
  <c r="DU222" i="1"/>
  <c r="DV222" i="1" s="1"/>
  <c r="DQ222" i="1"/>
  <c r="DW222" i="1"/>
  <c r="DX222" i="1" s="1"/>
  <c r="DY222" i="1"/>
  <c r="FQ224" i="1"/>
  <c r="FU224" i="1"/>
  <c r="FN225" i="1"/>
  <c r="DO223" i="1"/>
  <c r="DM223" i="1"/>
  <c r="DP223" i="1"/>
  <c r="DR223" i="1"/>
  <c r="DT223" i="1"/>
  <c r="DZ223" i="1" s="1"/>
  <c r="FN347" i="1"/>
  <c r="CI347" i="1"/>
  <c r="CB348" i="1"/>
  <c r="CE347" i="1"/>
  <c r="CM346" i="1"/>
  <c r="CH346" i="1"/>
  <c r="CO346" i="1"/>
  <c r="CU346" i="1" s="1"/>
  <c r="CK346" i="1"/>
  <c r="CJ346" i="1"/>
  <c r="CN345" i="1"/>
  <c r="CL345" i="1"/>
  <c r="CT345" i="1"/>
  <c r="CR345" i="1"/>
  <c r="CS345" i="1" s="1"/>
  <c r="CG345" i="1"/>
  <c r="CC345" i="1" s="1"/>
  <c r="BZ345" i="1" s="1"/>
  <c r="BY345" i="1" s="1"/>
  <c r="CP345" i="1"/>
  <c r="CQ345" i="1" s="1"/>
  <c r="DG346" i="1"/>
  <c r="EI348" i="1"/>
  <c r="EL347" i="1"/>
  <c r="EP347" i="1"/>
  <c r="ER346" i="1"/>
  <c r="EQ346" i="1"/>
  <c r="EV346" i="1"/>
  <c r="FB346" i="1" s="1"/>
  <c r="EO346" i="1"/>
  <c r="ET346" i="1"/>
  <c r="EN345" i="1"/>
  <c r="EJ345" i="1" s="1"/>
  <c r="EG345" i="1" s="1"/>
  <c r="EF345" i="1" s="1"/>
  <c r="EU345" i="1"/>
  <c r="FA345" i="1"/>
  <c r="EW345" i="1"/>
  <c r="EX345" i="1" s="1"/>
  <c r="ES345" i="1"/>
  <c r="EY345" i="1"/>
  <c r="EZ345" i="1" s="1"/>
  <c r="EI228" i="1"/>
  <c r="EP227" i="1"/>
  <c r="EL227" i="1"/>
  <c r="CR226" i="1"/>
  <c r="CS226" i="1" s="1"/>
  <c r="CP226" i="1"/>
  <c r="CQ226" i="1" s="1"/>
  <c r="CG226" i="1"/>
  <c r="CC226" i="1" s="1"/>
  <c r="BZ226" i="1" s="1"/>
  <c r="BY226" i="1" s="1"/>
  <c r="CN226" i="1"/>
  <c r="CT226" i="1"/>
  <c r="CL226" i="1"/>
  <c r="CE228" i="1"/>
  <c r="CB229" i="1"/>
  <c r="CI228" i="1"/>
  <c r="CK227" i="1"/>
  <c r="CJ227" i="1"/>
  <c r="CH227" i="1"/>
  <c r="CO227" i="1"/>
  <c r="CU227" i="1" s="1"/>
  <c r="CM227" i="1"/>
  <c r="FA225" i="1"/>
  <c r="ES225" i="1"/>
  <c r="EY225" i="1"/>
  <c r="EZ225" i="1" s="1"/>
  <c r="EW225" i="1"/>
  <c r="EX225" i="1" s="1"/>
  <c r="EU225" i="1"/>
  <c r="EN225" i="1"/>
  <c r="EJ225" i="1" s="1"/>
  <c r="EG225" i="1" s="1"/>
  <c r="EF225" i="1" s="1"/>
  <c r="EO226" i="1"/>
  <c r="ET226" i="1"/>
  <c r="EQ226" i="1"/>
  <c r="ER226" i="1"/>
  <c r="EV226" i="1"/>
  <c r="FB226" i="1" s="1"/>
  <c r="EL107" i="1"/>
  <c r="EI108" i="1"/>
  <c r="EP107" i="1"/>
  <c r="CN103" i="1"/>
  <c r="CR103" i="1"/>
  <c r="CS103" i="1" s="1"/>
  <c r="CG103" i="1"/>
  <c r="CC103" i="1" s="1"/>
  <c r="BZ103" i="1" s="1"/>
  <c r="BY103" i="1" s="1"/>
  <c r="CT103" i="1"/>
  <c r="CP103" i="1"/>
  <c r="CQ103" i="1" s="1"/>
  <c r="CL103" i="1"/>
  <c r="FN105" i="1"/>
  <c r="FQ104" i="1"/>
  <c r="FU104" i="1"/>
  <c r="DM103" i="1"/>
  <c r="DT103" i="1"/>
  <c r="DZ103" i="1" s="1"/>
  <c r="DR103" i="1"/>
  <c r="DO103" i="1"/>
  <c r="DP103" i="1"/>
  <c r="CM104" i="1"/>
  <c r="CH104" i="1"/>
  <c r="CK104" i="1"/>
  <c r="CJ104" i="1"/>
  <c r="CO104" i="1"/>
  <c r="CU104" i="1" s="1"/>
  <c r="DJ104" i="1"/>
  <c r="DG105" i="1"/>
  <c r="DN104" i="1"/>
  <c r="CB106" i="1"/>
  <c r="CE105" i="1"/>
  <c r="CI105" i="1"/>
  <c r="FX102" i="1"/>
  <c r="GD102" i="1"/>
  <c r="GE102" i="1" s="1"/>
  <c r="GB102" i="1"/>
  <c r="GC102" i="1" s="1"/>
  <c r="GF102" i="1"/>
  <c r="FZ102" i="1"/>
  <c r="FA105" i="1"/>
  <c r="ES105" i="1"/>
  <c r="EW105" i="1"/>
  <c r="EX105" i="1" s="1"/>
  <c r="EU105" i="1"/>
  <c r="EY105" i="1"/>
  <c r="EZ105" i="1" s="1"/>
  <c r="EN105" i="1"/>
  <c r="EJ105" i="1" s="1"/>
  <c r="EG105" i="1" s="1"/>
  <c r="EF105" i="1" s="1"/>
  <c r="DL102" i="1"/>
  <c r="DH102" i="1" s="1"/>
  <c r="DE102" i="1" s="1"/>
  <c r="DD102" i="1" s="1"/>
  <c r="DS102" i="1"/>
  <c r="DY102" i="1"/>
  <c r="DW102" i="1"/>
  <c r="DX102" i="1" s="1"/>
  <c r="DQ102" i="1"/>
  <c r="DU102" i="1"/>
  <c r="DV102" i="1" s="1"/>
  <c r="ER106" i="1"/>
  <c r="EO106" i="1"/>
  <c r="EV106" i="1"/>
  <c r="FB106" i="1" s="1"/>
  <c r="EQ106" i="1"/>
  <c r="ET106" i="1"/>
  <c r="FT103" i="1"/>
  <c r="FV103" i="1"/>
  <c r="FW103" i="1"/>
  <c r="FY103" i="1"/>
  <c r="GA103" i="1"/>
  <c r="GG103" i="1" s="1"/>
  <c r="FS103" i="1" s="1"/>
  <c r="FO103" i="1" s="1"/>
  <c r="FL103" i="1" s="1"/>
  <c r="FK103" i="1" s="1"/>
  <c r="FX345" i="1" l="1"/>
  <c r="GB345" i="1"/>
  <c r="GC345" i="1" s="1"/>
  <c r="GD345" i="1"/>
  <c r="GE345" i="1" s="1"/>
  <c r="GF345" i="1"/>
  <c r="FZ345" i="1"/>
  <c r="FQ225" i="1"/>
  <c r="FU225" i="1"/>
  <c r="FN226" i="1"/>
  <c r="DQ344" i="1"/>
  <c r="DU344" i="1"/>
  <c r="DV344" i="1" s="1"/>
  <c r="DW344" i="1"/>
  <c r="DX344" i="1" s="1"/>
  <c r="DY344" i="1"/>
  <c r="DL344" i="1"/>
  <c r="DH344" i="1" s="1"/>
  <c r="DE344" i="1" s="1"/>
  <c r="DD344" i="1" s="1"/>
  <c r="DS344" i="1"/>
  <c r="DO345" i="1"/>
  <c r="DM345" i="1"/>
  <c r="DR345" i="1"/>
  <c r="DP345" i="1"/>
  <c r="DT345" i="1"/>
  <c r="DZ345" i="1" s="1"/>
  <c r="FV224" i="1"/>
  <c r="FY224" i="1"/>
  <c r="FT224" i="1"/>
  <c r="FW224" i="1"/>
  <c r="GA224" i="1"/>
  <c r="GG224" i="1" s="1"/>
  <c r="FS224" i="1" s="1"/>
  <c r="FO224" i="1" s="1"/>
  <c r="FL224" i="1" s="1"/>
  <c r="FK224" i="1" s="1"/>
  <c r="DJ346" i="1"/>
  <c r="DN346" i="1"/>
  <c r="FQ347" i="1"/>
  <c r="FU347" i="1"/>
  <c r="FT346" i="1"/>
  <c r="FY346" i="1"/>
  <c r="FW346" i="1"/>
  <c r="FV346" i="1"/>
  <c r="GA346" i="1"/>
  <c r="GG346" i="1" s="1"/>
  <c r="FS346" i="1" s="1"/>
  <c r="FO346" i="1" s="1"/>
  <c r="FL346" i="1" s="1"/>
  <c r="FK346" i="1" s="1"/>
  <c r="DO224" i="1"/>
  <c r="DM224" i="1"/>
  <c r="DP224" i="1"/>
  <c r="DR224" i="1"/>
  <c r="DT224" i="1"/>
  <c r="DZ224" i="1" s="1"/>
  <c r="DG226" i="1"/>
  <c r="DJ225" i="1"/>
  <c r="DN225" i="1"/>
  <c r="GD223" i="1"/>
  <c r="GE223" i="1" s="1"/>
  <c r="FX223" i="1"/>
  <c r="GF223" i="1"/>
  <c r="FZ223" i="1"/>
  <c r="GB223" i="1"/>
  <c r="GC223" i="1" s="1"/>
  <c r="DS223" i="1"/>
  <c r="DL223" i="1"/>
  <c r="DH223" i="1" s="1"/>
  <c r="DE223" i="1" s="1"/>
  <c r="DD223" i="1" s="1"/>
  <c r="DU223" i="1"/>
  <c r="DV223" i="1" s="1"/>
  <c r="DW223" i="1"/>
  <c r="DX223" i="1" s="1"/>
  <c r="DQ223" i="1"/>
  <c r="DY223" i="1"/>
  <c r="EV347" i="1"/>
  <c r="FB347" i="1" s="1"/>
  <c r="ER347" i="1"/>
  <c r="EQ347" i="1"/>
  <c r="EO347" i="1"/>
  <c r="ET347" i="1"/>
  <c r="CI348" i="1"/>
  <c r="CE348" i="1"/>
  <c r="CB349" i="1"/>
  <c r="CH347" i="1"/>
  <c r="CM347" i="1"/>
  <c r="CK347" i="1"/>
  <c r="CJ347" i="1"/>
  <c r="CO347" i="1"/>
  <c r="CU347" i="1" s="1"/>
  <c r="EP348" i="1"/>
  <c r="EI349" i="1"/>
  <c r="EL348" i="1"/>
  <c r="FN348" i="1"/>
  <c r="DG347" i="1"/>
  <c r="CN346" i="1"/>
  <c r="CL346" i="1"/>
  <c r="CT346" i="1"/>
  <c r="CR346" i="1"/>
  <c r="CS346" i="1" s="1"/>
  <c r="CP346" i="1"/>
  <c r="CQ346" i="1" s="1"/>
  <c r="CG346" i="1"/>
  <c r="CC346" i="1" s="1"/>
  <c r="BZ346" i="1" s="1"/>
  <c r="BY346" i="1" s="1"/>
  <c r="EY346" i="1"/>
  <c r="EZ346" i="1" s="1"/>
  <c r="EN346" i="1"/>
  <c r="EJ346" i="1" s="1"/>
  <c r="EG346" i="1" s="1"/>
  <c r="EF346" i="1" s="1"/>
  <c r="EW346" i="1"/>
  <c r="EX346" i="1" s="1"/>
  <c r="EU346" i="1"/>
  <c r="ES346" i="1"/>
  <c r="FA346" i="1"/>
  <c r="EQ227" i="1"/>
  <c r="EO227" i="1"/>
  <c r="EV227" i="1"/>
  <c r="FB227" i="1" s="1"/>
  <c r="ET227" i="1"/>
  <c r="ER227" i="1"/>
  <c r="EL228" i="1"/>
  <c r="EI229" i="1"/>
  <c r="EP228" i="1"/>
  <c r="CN227" i="1"/>
  <c r="CT227" i="1"/>
  <c r="CL227" i="1"/>
  <c r="CR227" i="1"/>
  <c r="CS227" i="1" s="1"/>
  <c r="CP227" i="1"/>
  <c r="CQ227" i="1" s="1"/>
  <c r="CG227" i="1"/>
  <c r="CC227" i="1" s="1"/>
  <c r="BZ227" i="1" s="1"/>
  <c r="BY227" i="1" s="1"/>
  <c r="CJ228" i="1"/>
  <c r="CH228" i="1"/>
  <c r="CO228" i="1"/>
  <c r="CU228" i="1" s="1"/>
  <c r="CM228" i="1"/>
  <c r="CK228" i="1"/>
  <c r="EW226" i="1"/>
  <c r="EX226" i="1" s="1"/>
  <c r="EU226" i="1"/>
  <c r="FA226" i="1"/>
  <c r="ES226" i="1"/>
  <c r="EY226" i="1"/>
  <c r="EZ226" i="1" s="1"/>
  <c r="EN226" i="1"/>
  <c r="EJ226" i="1" s="1"/>
  <c r="EG226" i="1" s="1"/>
  <c r="EF226" i="1" s="1"/>
  <c r="CI229" i="1"/>
  <c r="CE229" i="1"/>
  <c r="CB230" i="1"/>
  <c r="DG106" i="1"/>
  <c r="DJ105" i="1"/>
  <c r="DN105" i="1"/>
  <c r="EY106" i="1"/>
  <c r="EZ106" i="1" s="1"/>
  <c r="ES106" i="1"/>
  <c r="FA106" i="1"/>
  <c r="EN106" i="1"/>
  <c r="EJ106" i="1" s="1"/>
  <c r="EG106" i="1" s="1"/>
  <c r="EF106" i="1" s="1"/>
  <c r="EW106" i="1"/>
  <c r="EX106" i="1" s="1"/>
  <c r="EU106" i="1"/>
  <c r="DW103" i="1"/>
  <c r="DX103" i="1" s="1"/>
  <c r="DS103" i="1"/>
  <c r="DY103" i="1"/>
  <c r="DQ103" i="1"/>
  <c r="DL103" i="1"/>
  <c r="DH103" i="1" s="1"/>
  <c r="DE103" i="1" s="1"/>
  <c r="DD103" i="1" s="1"/>
  <c r="DU103" i="1"/>
  <c r="DV103" i="1" s="1"/>
  <c r="CH105" i="1"/>
  <c r="CM105" i="1"/>
  <c r="CK105" i="1"/>
  <c r="CO105" i="1"/>
  <c r="CU105" i="1" s="1"/>
  <c r="CJ105" i="1"/>
  <c r="GA104" i="1"/>
  <c r="GG104" i="1" s="1"/>
  <c r="FS104" i="1" s="1"/>
  <c r="FO104" i="1" s="1"/>
  <c r="FL104" i="1" s="1"/>
  <c r="FK104" i="1" s="1"/>
  <c r="FY104" i="1"/>
  <c r="FT104" i="1"/>
  <c r="FV104" i="1"/>
  <c r="FW104" i="1"/>
  <c r="CR104" i="1"/>
  <c r="CS104" i="1" s="1"/>
  <c r="CN104" i="1"/>
  <c r="CL104" i="1"/>
  <c r="CP104" i="1"/>
  <c r="CQ104" i="1" s="1"/>
  <c r="CG104" i="1"/>
  <c r="CC104" i="1" s="1"/>
  <c r="BZ104" i="1" s="1"/>
  <c r="BY104" i="1" s="1"/>
  <c r="CT104" i="1"/>
  <c r="EO107" i="1"/>
  <c r="EV107" i="1"/>
  <c r="FB107" i="1" s="1"/>
  <c r="EQ107" i="1"/>
  <c r="ER107" i="1"/>
  <c r="ET107" i="1"/>
  <c r="GB103" i="1"/>
  <c r="GC103" i="1" s="1"/>
  <c r="GF103" i="1"/>
  <c r="FX103" i="1"/>
  <c r="FZ103" i="1"/>
  <c r="GD103" i="1"/>
  <c r="GE103" i="1" s="1"/>
  <c r="CE106" i="1"/>
  <c r="CB107" i="1"/>
  <c r="CI106" i="1"/>
  <c r="FN106" i="1"/>
  <c r="FQ105" i="1"/>
  <c r="FU105" i="1"/>
  <c r="EL108" i="1"/>
  <c r="EI109" i="1"/>
  <c r="EP108" i="1"/>
  <c r="DP104" i="1"/>
  <c r="DO104" i="1"/>
  <c r="DR104" i="1"/>
  <c r="DT104" i="1"/>
  <c r="DZ104" i="1" s="1"/>
  <c r="DM104" i="1"/>
  <c r="DY345" i="1" l="1"/>
  <c r="DS345" i="1"/>
  <c r="DL345" i="1"/>
  <c r="DH345" i="1" s="1"/>
  <c r="DE345" i="1" s="1"/>
  <c r="DD345" i="1" s="1"/>
  <c r="DU345" i="1"/>
  <c r="DV345" i="1" s="1"/>
  <c r="DQ345" i="1"/>
  <c r="DW345" i="1"/>
  <c r="DX345" i="1" s="1"/>
  <c r="FQ226" i="1"/>
  <c r="FU226" i="1"/>
  <c r="FN227" i="1"/>
  <c r="DG227" i="1"/>
  <c r="DJ226" i="1"/>
  <c r="DN226" i="1"/>
  <c r="FV225" i="1"/>
  <c r="FT225" i="1"/>
  <c r="FY225" i="1"/>
  <c r="FW225" i="1"/>
  <c r="GA225" i="1"/>
  <c r="GG225" i="1" s="1"/>
  <c r="FS225" i="1" s="1"/>
  <c r="FO225" i="1" s="1"/>
  <c r="FL225" i="1" s="1"/>
  <c r="FK225" i="1" s="1"/>
  <c r="DJ347" i="1"/>
  <c r="DN347" i="1"/>
  <c r="GD224" i="1"/>
  <c r="GE224" i="1" s="1"/>
  <c r="GB224" i="1"/>
  <c r="GC224" i="1" s="1"/>
  <c r="GF224" i="1"/>
  <c r="FX224" i="1"/>
  <c r="FZ224" i="1"/>
  <c r="FQ348" i="1"/>
  <c r="FU348" i="1"/>
  <c r="GB346" i="1"/>
  <c r="GC346" i="1" s="1"/>
  <c r="FX346" i="1"/>
  <c r="GF346" i="1"/>
  <c r="GD346" i="1"/>
  <c r="GE346" i="1" s="1"/>
  <c r="FZ346" i="1"/>
  <c r="GA347" i="1"/>
  <c r="GG347" i="1" s="1"/>
  <c r="FS347" i="1" s="1"/>
  <c r="FO347" i="1" s="1"/>
  <c r="FL347" i="1" s="1"/>
  <c r="FK347" i="1" s="1"/>
  <c r="FW347" i="1"/>
  <c r="FY347" i="1"/>
  <c r="FT347" i="1"/>
  <c r="FV347" i="1"/>
  <c r="DU224" i="1"/>
  <c r="DV224" i="1" s="1"/>
  <c r="DY224" i="1"/>
  <c r="DS224" i="1"/>
  <c r="DL224" i="1"/>
  <c r="DH224" i="1" s="1"/>
  <c r="DE224" i="1" s="1"/>
  <c r="DD224" i="1" s="1"/>
  <c r="DW224" i="1"/>
  <c r="DX224" i="1" s="1"/>
  <c r="DQ224" i="1"/>
  <c r="DO346" i="1"/>
  <c r="DM346" i="1"/>
  <c r="DP346" i="1"/>
  <c r="DR346" i="1"/>
  <c r="DT346" i="1"/>
  <c r="DZ346" i="1" s="1"/>
  <c r="DR225" i="1"/>
  <c r="DT225" i="1"/>
  <c r="DZ225" i="1" s="1"/>
  <c r="DP225" i="1"/>
  <c r="DM225" i="1"/>
  <c r="DO225" i="1"/>
  <c r="FN349" i="1"/>
  <c r="EN347" i="1"/>
  <c r="EJ347" i="1" s="1"/>
  <c r="EG347" i="1" s="1"/>
  <c r="EF347" i="1" s="1"/>
  <c r="EU347" i="1"/>
  <c r="FA347" i="1"/>
  <c r="EY347" i="1"/>
  <c r="EZ347" i="1" s="1"/>
  <c r="ES347" i="1"/>
  <c r="EW347" i="1"/>
  <c r="EX347" i="1" s="1"/>
  <c r="CP347" i="1"/>
  <c r="CQ347" i="1" s="1"/>
  <c r="CN347" i="1"/>
  <c r="CT347" i="1"/>
  <c r="CG347" i="1"/>
  <c r="CC347" i="1" s="1"/>
  <c r="BZ347" i="1" s="1"/>
  <c r="BY347" i="1" s="1"/>
  <c r="CR347" i="1"/>
  <c r="CS347" i="1" s="1"/>
  <c r="CL347" i="1"/>
  <c r="CI349" i="1"/>
  <c r="CB350" i="1"/>
  <c r="CE349" i="1"/>
  <c r="EI350" i="1"/>
  <c r="EL349" i="1"/>
  <c r="EP349" i="1"/>
  <c r="DG348" i="1"/>
  <c r="ER348" i="1"/>
  <c r="EQ348" i="1"/>
  <c r="EV348" i="1"/>
  <c r="FB348" i="1" s="1"/>
  <c r="EO348" i="1"/>
  <c r="ET348" i="1"/>
  <c r="CM348" i="1"/>
  <c r="CO348" i="1"/>
  <c r="CU348" i="1" s="1"/>
  <c r="CK348" i="1"/>
  <c r="CH348" i="1"/>
  <c r="CJ348" i="1"/>
  <c r="EQ228" i="1"/>
  <c r="EO228" i="1"/>
  <c r="EV228" i="1"/>
  <c r="FB228" i="1" s="1"/>
  <c r="ER228" i="1"/>
  <c r="ET228" i="1"/>
  <c r="CP228" i="1"/>
  <c r="CQ228" i="1" s="1"/>
  <c r="CT228" i="1"/>
  <c r="CL228" i="1"/>
  <c r="CR228" i="1"/>
  <c r="CS228" i="1" s="1"/>
  <c r="CG228" i="1"/>
  <c r="CC228" i="1" s="1"/>
  <c r="BZ228" i="1" s="1"/>
  <c r="BY228" i="1" s="1"/>
  <c r="CN228" i="1"/>
  <c r="FA227" i="1"/>
  <c r="ES227" i="1"/>
  <c r="EY227" i="1"/>
  <c r="EZ227" i="1" s="1"/>
  <c r="EW227" i="1"/>
  <c r="EX227" i="1" s="1"/>
  <c r="EU227" i="1"/>
  <c r="EN227" i="1"/>
  <c r="EJ227" i="1" s="1"/>
  <c r="EG227" i="1" s="1"/>
  <c r="EF227" i="1" s="1"/>
  <c r="CJ229" i="1"/>
  <c r="CH229" i="1"/>
  <c r="CO229" i="1"/>
  <c r="CU229" i="1" s="1"/>
  <c r="CM229" i="1"/>
  <c r="CK229" i="1"/>
  <c r="EI230" i="1"/>
  <c r="EL229" i="1"/>
  <c r="EP229" i="1"/>
  <c r="CE230" i="1"/>
  <c r="CI230" i="1"/>
  <c r="CB231" i="1"/>
  <c r="DQ104" i="1"/>
  <c r="DW104" i="1"/>
  <c r="DX104" i="1" s="1"/>
  <c r="DY104" i="1"/>
  <c r="DL104" i="1"/>
  <c r="DH104" i="1" s="1"/>
  <c r="DE104" i="1" s="1"/>
  <c r="DD104" i="1" s="1"/>
  <c r="DS104" i="1"/>
  <c r="DU104" i="1"/>
  <c r="DV104" i="1" s="1"/>
  <c r="FA107" i="1"/>
  <c r="ES107" i="1"/>
  <c r="EN107" i="1"/>
  <c r="EJ107" i="1" s="1"/>
  <c r="EG107" i="1" s="1"/>
  <c r="EF107" i="1" s="1"/>
  <c r="EW107" i="1"/>
  <c r="EX107" i="1" s="1"/>
  <c r="EY107" i="1"/>
  <c r="EZ107" i="1" s="1"/>
  <c r="EU107" i="1"/>
  <c r="CP105" i="1"/>
  <c r="CQ105" i="1" s="1"/>
  <c r="CR105" i="1"/>
  <c r="CS105" i="1" s="1"/>
  <c r="CL105" i="1"/>
  <c r="CT105" i="1"/>
  <c r="CN105" i="1"/>
  <c r="CG105" i="1"/>
  <c r="CC105" i="1" s="1"/>
  <c r="BZ105" i="1" s="1"/>
  <c r="BY105" i="1" s="1"/>
  <c r="FV105" i="1"/>
  <c r="FY105" i="1"/>
  <c r="FW105" i="1"/>
  <c r="FT105" i="1"/>
  <c r="GA105" i="1"/>
  <c r="GG105" i="1" s="1"/>
  <c r="FS105" i="1" s="1"/>
  <c r="FO105" i="1" s="1"/>
  <c r="FL105" i="1" s="1"/>
  <c r="FK105" i="1" s="1"/>
  <c r="FN107" i="1"/>
  <c r="FQ106" i="1"/>
  <c r="FU106" i="1"/>
  <c r="CJ106" i="1"/>
  <c r="CK106" i="1"/>
  <c r="CH106" i="1"/>
  <c r="CM106" i="1"/>
  <c r="CO106" i="1"/>
  <c r="CU106" i="1" s="1"/>
  <c r="DP105" i="1"/>
  <c r="DM105" i="1"/>
  <c r="DO105" i="1"/>
  <c r="DT105" i="1"/>
  <c r="DZ105" i="1" s="1"/>
  <c r="DR105" i="1"/>
  <c r="CB108" i="1"/>
  <c r="CE107" i="1"/>
  <c r="CI107" i="1"/>
  <c r="EV108" i="1"/>
  <c r="FB108" i="1" s="1"/>
  <c r="ER108" i="1"/>
  <c r="EQ108" i="1"/>
  <c r="ET108" i="1"/>
  <c r="EO108" i="1"/>
  <c r="GD104" i="1"/>
  <c r="GE104" i="1" s="1"/>
  <c r="GF104" i="1"/>
  <c r="GB104" i="1"/>
  <c r="GC104" i="1" s="1"/>
  <c r="FX104" i="1"/>
  <c r="FZ104" i="1"/>
  <c r="EL109" i="1"/>
  <c r="EI110" i="1"/>
  <c r="EP109" i="1"/>
  <c r="DG107" i="1"/>
  <c r="DJ106" i="1"/>
  <c r="DN106" i="1"/>
  <c r="DJ348" i="1" l="1"/>
  <c r="DN348" i="1"/>
  <c r="FV226" i="1"/>
  <c r="FW226" i="1"/>
  <c r="FT226" i="1"/>
  <c r="FY226" i="1"/>
  <c r="GA226" i="1"/>
  <c r="GG226" i="1" s="1"/>
  <c r="FS226" i="1" s="1"/>
  <c r="FO226" i="1" s="1"/>
  <c r="FL226" i="1" s="1"/>
  <c r="FK226" i="1" s="1"/>
  <c r="GD225" i="1"/>
  <c r="GE225" i="1" s="1"/>
  <c r="GB225" i="1"/>
  <c r="GC225" i="1" s="1"/>
  <c r="GF225" i="1"/>
  <c r="FX225" i="1"/>
  <c r="FZ225" i="1"/>
  <c r="DW346" i="1"/>
  <c r="DX346" i="1" s="1"/>
  <c r="DL346" i="1"/>
  <c r="DH346" i="1" s="1"/>
  <c r="DE346" i="1" s="1"/>
  <c r="DD346" i="1" s="1"/>
  <c r="DQ346" i="1"/>
  <c r="DU346" i="1"/>
  <c r="DV346" i="1" s="1"/>
  <c r="DY346" i="1"/>
  <c r="DS346" i="1"/>
  <c r="DT226" i="1"/>
  <c r="DZ226" i="1" s="1"/>
  <c r="DM226" i="1"/>
  <c r="DR226" i="1"/>
  <c r="DO226" i="1"/>
  <c r="DP226" i="1"/>
  <c r="FQ349" i="1"/>
  <c r="FU349" i="1"/>
  <c r="DW225" i="1"/>
  <c r="DX225" i="1" s="1"/>
  <c r="DS225" i="1"/>
  <c r="DY225" i="1"/>
  <c r="DL225" i="1"/>
  <c r="DH225" i="1" s="1"/>
  <c r="DE225" i="1" s="1"/>
  <c r="DD225" i="1" s="1"/>
  <c r="DQ225" i="1"/>
  <c r="DU225" i="1"/>
  <c r="DV225" i="1" s="1"/>
  <c r="GD347" i="1"/>
  <c r="GE347" i="1" s="1"/>
  <c r="GB347" i="1"/>
  <c r="GC347" i="1" s="1"/>
  <c r="GF347" i="1"/>
  <c r="FX347" i="1"/>
  <c r="FZ347" i="1"/>
  <c r="DP347" i="1"/>
  <c r="DM347" i="1"/>
  <c r="DO347" i="1"/>
  <c r="DR347" i="1"/>
  <c r="DT347" i="1"/>
  <c r="DZ347" i="1" s="1"/>
  <c r="FY348" i="1"/>
  <c r="FT348" i="1"/>
  <c r="FV348" i="1"/>
  <c r="FW348" i="1"/>
  <c r="GA348" i="1"/>
  <c r="GG348" i="1" s="1"/>
  <c r="FS348" i="1" s="1"/>
  <c r="FO348" i="1" s="1"/>
  <c r="FL348" i="1" s="1"/>
  <c r="FK348" i="1" s="1"/>
  <c r="DG228" i="1"/>
  <c r="DN227" i="1"/>
  <c r="DJ227" i="1"/>
  <c r="FQ227" i="1"/>
  <c r="FU227" i="1"/>
  <c r="FN228" i="1"/>
  <c r="EI351" i="1"/>
  <c r="EP350" i="1"/>
  <c r="EL350" i="1"/>
  <c r="CH349" i="1"/>
  <c r="CM349" i="1"/>
  <c r="CO349" i="1"/>
  <c r="CU349" i="1" s="1"/>
  <c r="CK349" i="1"/>
  <c r="CJ349" i="1"/>
  <c r="CT348" i="1"/>
  <c r="CL348" i="1"/>
  <c r="CR348" i="1"/>
  <c r="CS348" i="1" s="1"/>
  <c r="CN348" i="1"/>
  <c r="CG348" i="1"/>
  <c r="CC348" i="1" s="1"/>
  <c r="BZ348" i="1" s="1"/>
  <c r="BY348" i="1" s="1"/>
  <c r="CP348" i="1"/>
  <c r="CQ348" i="1" s="1"/>
  <c r="EO349" i="1"/>
  <c r="ET349" i="1"/>
  <c r="EQ349" i="1"/>
  <c r="EV349" i="1"/>
  <c r="FB349" i="1" s="1"/>
  <c r="ER349" i="1"/>
  <c r="DG349" i="1"/>
  <c r="EY348" i="1"/>
  <c r="EZ348" i="1" s="1"/>
  <c r="EN348" i="1"/>
  <c r="EJ348" i="1" s="1"/>
  <c r="EG348" i="1" s="1"/>
  <c r="EF348" i="1" s="1"/>
  <c r="EU348" i="1"/>
  <c r="ES348" i="1"/>
  <c r="EW348" i="1"/>
  <c r="EX348" i="1" s="1"/>
  <c r="FA348" i="1"/>
  <c r="CI350" i="1"/>
  <c r="CE350" i="1"/>
  <c r="CB351" i="1"/>
  <c r="FN350" i="1"/>
  <c r="CI231" i="1"/>
  <c r="CE231" i="1"/>
  <c r="CB232" i="1"/>
  <c r="EL230" i="1"/>
  <c r="EI231" i="1"/>
  <c r="EP230" i="1"/>
  <c r="CH230" i="1"/>
  <c r="CM230" i="1"/>
  <c r="CJ230" i="1"/>
  <c r="CO230" i="1"/>
  <c r="CU230" i="1" s="1"/>
  <c r="CK230" i="1"/>
  <c r="CT229" i="1"/>
  <c r="CL229" i="1"/>
  <c r="CR229" i="1"/>
  <c r="CS229" i="1" s="1"/>
  <c r="CP229" i="1"/>
  <c r="CQ229" i="1" s="1"/>
  <c r="CN229" i="1"/>
  <c r="CG229" i="1"/>
  <c r="CC229" i="1" s="1"/>
  <c r="BZ229" i="1" s="1"/>
  <c r="BY229" i="1" s="1"/>
  <c r="EU228" i="1"/>
  <c r="FA228" i="1"/>
  <c r="ES228" i="1"/>
  <c r="EY228" i="1"/>
  <c r="EZ228" i="1" s="1"/>
  <c r="EW228" i="1"/>
  <c r="EX228" i="1" s="1"/>
  <c r="EN228" i="1"/>
  <c r="EJ228" i="1" s="1"/>
  <c r="EG228" i="1" s="1"/>
  <c r="EF228" i="1" s="1"/>
  <c r="EQ229" i="1"/>
  <c r="EO229" i="1"/>
  <c r="EV229" i="1"/>
  <c r="FB229" i="1" s="1"/>
  <c r="ET229" i="1"/>
  <c r="ER229" i="1"/>
  <c r="FN108" i="1"/>
  <c r="FQ107" i="1"/>
  <c r="FU107" i="1"/>
  <c r="GB105" i="1"/>
  <c r="GC105" i="1" s="1"/>
  <c r="GF105" i="1"/>
  <c r="FZ105" i="1"/>
  <c r="GD105" i="1"/>
  <c r="GE105" i="1" s="1"/>
  <c r="FX105" i="1"/>
  <c r="CK107" i="1"/>
  <c r="CM107" i="1"/>
  <c r="CO107" i="1"/>
  <c r="CU107" i="1" s="1"/>
  <c r="CH107" i="1"/>
  <c r="CJ107" i="1"/>
  <c r="DJ107" i="1"/>
  <c r="DG108" i="1"/>
  <c r="DN107" i="1"/>
  <c r="CB109" i="1"/>
  <c r="CE108" i="1"/>
  <c r="CI108" i="1"/>
  <c r="CL106" i="1"/>
  <c r="CT106" i="1"/>
  <c r="CN106" i="1"/>
  <c r="CR106" i="1"/>
  <c r="CS106" i="1" s="1"/>
  <c r="CP106" i="1"/>
  <c r="CQ106" i="1" s="1"/>
  <c r="CG106" i="1"/>
  <c r="CC106" i="1" s="1"/>
  <c r="BZ106" i="1" s="1"/>
  <c r="BY106" i="1" s="1"/>
  <c r="DP106" i="1"/>
  <c r="DO106" i="1"/>
  <c r="DM106" i="1"/>
  <c r="DR106" i="1"/>
  <c r="DT106" i="1"/>
  <c r="DZ106" i="1" s="1"/>
  <c r="ES108" i="1"/>
  <c r="EN108" i="1"/>
  <c r="EJ108" i="1" s="1"/>
  <c r="EG108" i="1" s="1"/>
  <c r="EF108" i="1" s="1"/>
  <c r="EW108" i="1"/>
  <c r="EX108" i="1" s="1"/>
  <c r="EU108" i="1"/>
  <c r="EY108" i="1"/>
  <c r="EZ108" i="1" s="1"/>
  <c r="FA108" i="1"/>
  <c r="EL110" i="1"/>
  <c r="EI111" i="1"/>
  <c r="EP110" i="1"/>
  <c r="EQ109" i="1"/>
  <c r="ET109" i="1"/>
  <c r="EV109" i="1"/>
  <c r="FB109" i="1" s="1"/>
  <c r="EO109" i="1"/>
  <c r="ER109" i="1"/>
  <c r="FT106" i="1"/>
  <c r="FW106" i="1"/>
  <c r="FY106" i="1"/>
  <c r="FV106" i="1"/>
  <c r="GA106" i="1"/>
  <c r="GG106" i="1" s="1"/>
  <c r="FS106" i="1" s="1"/>
  <c r="FO106" i="1" s="1"/>
  <c r="FL106" i="1" s="1"/>
  <c r="FK106" i="1" s="1"/>
  <c r="DY105" i="1"/>
  <c r="DS105" i="1"/>
  <c r="DU105" i="1"/>
  <c r="DV105" i="1" s="1"/>
  <c r="DW105" i="1"/>
  <c r="DX105" i="1" s="1"/>
  <c r="DL105" i="1"/>
  <c r="DH105" i="1" s="1"/>
  <c r="DE105" i="1" s="1"/>
  <c r="DD105" i="1" s="1"/>
  <c r="DQ105" i="1"/>
  <c r="DT227" i="1" l="1"/>
  <c r="DZ227" i="1" s="1"/>
  <c r="DM227" i="1"/>
  <c r="DO227" i="1"/>
  <c r="DP227" i="1"/>
  <c r="DR227" i="1"/>
  <c r="DG229" i="1"/>
  <c r="DN228" i="1"/>
  <c r="DJ228" i="1"/>
  <c r="DW347" i="1"/>
  <c r="DX347" i="1" s="1"/>
  <c r="DU347" i="1"/>
  <c r="DV347" i="1" s="1"/>
  <c r="DL347" i="1"/>
  <c r="DH347" i="1" s="1"/>
  <c r="DE347" i="1" s="1"/>
  <c r="DD347" i="1" s="1"/>
  <c r="DY347" i="1"/>
  <c r="DQ347" i="1"/>
  <c r="DS347" i="1"/>
  <c r="GD226" i="1"/>
  <c r="GE226" i="1" s="1"/>
  <c r="FX226" i="1"/>
  <c r="GB226" i="1"/>
  <c r="GC226" i="1" s="1"/>
  <c r="GF226" i="1"/>
  <c r="FZ226" i="1"/>
  <c r="FQ228" i="1"/>
  <c r="FU228" i="1"/>
  <c r="FN229" i="1"/>
  <c r="DY226" i="1"/>
  <c r="DS226" i="1"/>
  <c r="DW226" i="1"/>
  <c r="DX226" i="1" s="1"/>
  <c r="DL226" i="1"/>
  <c r="DH226" i="1" s="1"/>
  <c r="DE226" i="1" s="1"/>
  <c r="DD226" i="1" s="1"/>
  <c r="DU226" i="1"/>
  <c r="DV226" i="1" s="1"/>
  <c r="DQ226" i="1"/>
  <c r="FV227" i="1"/>
  <c r="FW227" i="1"/>
  <c r="FY227" i="1"/>
  <c r="FT227" i="1"/>
  <c r="GA227" i="1"/>
  <c r="GG227" i="1" s="1"/>
  <c r="FS227" i="1" s="1"/>
  <c r="FO227" i="1" s="1"/>
  <c r="FL227" i="1" s="1"/>
  <c r="FK227" i="1" s="1"/>
  <c r="FZ348" i="1"/>
  <c r="FX348" i="1"/>
  <c r="GB348" i="1"/>
  <c r="GC348" i="1" s="1"/>
  <c r="GD348" i="1"/>
  <c r="GE348" i="1" s="1"/>
  <c r="GF348" i="1"/>
  <c r="DJ349" i="1"/>
  <c r="DN349" i="1"/>
  <c r="FQ350" i="1"/>
  <c r="FU350" i="1"/>
  <c r="DM348" i="1"/>
  <c r="DR348" i="1"/>
  <c r="DP348" i="1"/>
  <c r="DO348" i="1"/>
  <c r="DT348" i="1"/>
  <c r="DZ348" i="1" s="1"/>
  <c r="FY349" i="1"/>
  <c r="FW349" i="1"/>
  <c r="FT349" i="1"/>
  <c r="FV349" i="1"/>
  <c r="GA349" i="1"/>
  <c r="GG349" i="1" s="1"/>
  <c r="FS349" i="1" s="1"/>
  <c r="FO349" i="1" s="1"/>
  <c r="FL349" i="1" s="1"/>
  <c r="FK349" i="1" s="1"/>
  <c r="FN351" i="1"/>
  <c r="CE351" i="1"/>
  <c r="CB352" i="1"/>
  <c r="CI351" i="1"/>
  <c r="FA349" i="1"/>
  <c r="ES349" i="1"/>
  <c r="EW349" i="1"/>
  <c r="EX349" i="1" s="1"/>
  <c r="EY349" i="1"/>
  <c r="EZ349" i="1" s="1"/>
  <c r="EN349" i="1"/>
  <c r="EJ349" i="1" s="1"/>
  <c r="EG349" i="1" s="1"/>
  <c r="EF349" i="1" s="1"/>
  <c r="EU349" i="1"/>
  <c r="CN349" i="1"/>
  <c r="CR349" i="1"/>
  <c r="CS349" i="1" s="1"/>
  <c r="CG349" i="1"/>
  <c r="CC349" i="1" s="1"/>
  <c r="BZ349" i="1" s="1"/>
  <c r="BY349" i="1" s="1"/>
  <c r="CT349" i="1"/>
  <c r="CP349" i="1"/>
  <c r="CQ349" i="1" s="1"/>
  <c r="CL349" i="1"/>
  <c r="CJ350" i="1"/>
  <c r="CK350" i="1"/>
  <c r="CH350" i="1"/>
  <c r="CM350" i="1"/>
  <c r="CO350" i="1"/>
  <c r="CU350" i="1" s="1"/>
  <c r="EO350" i="1"/>
  <c r="EV350" i="1"/>
  <c r="FB350" i="1" s="1"/>
  <c r="ER350" i="1"/>
  <c r="ET350" i="1"/>
  <c r="EQ350" i="1"/>
  <c r="DG350" i="1"/>
  <c r="EL351" i="1"/>
  <c r="EI352" i="1"/>
  <c r="EP351" i="1"/>
  <c r="ER230" i="1"/>
  <c r="EQ230" i="1"/>
  <c r="EO230" i="1"/>
  <c r="ET230" i="1"/>
  <c r="EV230" i="1"/>
  <c r="FB230" i="1" s="1"/>
  <c r="EY229" i="1"/>
  <c r="EZ229" i="1" s="1"/>
  <c r="EW229" i="1"/>
  <c r="EX229" i="1" s="1"/>
  <c r="EN229" i="1"/>
  <c r="EJ229" i="1" s="1"/>
  <c r="EG229" i="1" s="1"/>
  <c r="EF229" i="1" s="1"/>
  <c r="EU229" i="1"/>
  <c r="FA229" i="1"/>
  <c r="ES229" i="1"/>
  <c r="EI232" i="1"/>
  <c r="EL231" i="1"/>
  <c r="EP231" i="1"/>
  <c r="CB233" i="1"/>
  <c r="CE232" i="1"/>
  <c r="CI232" i="1"/>
  <c r="CP230" i="1"/>
  <c r="CQ230" i="1" s="1"/>
  <c r="CN230" i="1"/>
  <c r="CT230" i="1"/>
  <c r="CL230" i="1"/>
  <c r="CR230" i="1"/>
  <c r="CS230" i="1" s="1"/>
  <c r="CG230" i="1"/>
  <c r="CC230" i="1" s="1"/>
  <c r="BZ230" i="1" s="1"/>
  <c r="BY230" i="1" s="1"/>
  <c r="CJ231" i="1"/>
  <c r="CH231" i="1"/>
  <c r="CK231" i="1"/>
  <c r="CO231" i="1"/>
  <c r="CU231" i="1" s="1"/>
  <c r="CM231" i="1"/>
  <c r="DT107" i="1"/>
  <c r="DZ107" i="1" s="1"/>
  <c r="DR107" i="1"/>
  <c r="DM107" i="1"/>
  <c r="DP107" i="1"/>
  <c r="DO107" i="1"/>
  <c r="EQ110" i="1"/>
  <c r="ET110" i="1"/>
  <c r="EO110" i="1"/>
  <c r="EV110" i="1"/>
  <c r="FB110" i="1" s="1"/>
  <c r="ER110" i="1"/>
  <c r="DJ108" i="1"/>
  <c r="DG109" i="1"/>
  <c r="DN108" i="1"/>
  <c r="FX106" i="1"/>
  <c r="GF106" i="1"/>
  <c r="GD106" i="1"/>
  <c r="GE106" i="1" s="1"/>
  <c r="FZ106" i="1"/>
  <c r="GB106" i="1"/>
  <c r="GC106" i="1" s="1"/>
  <c r="DY106" i="1"/>
  <c r="DL106" i="1"/>
  <c r="DH106" i="1" s="1"/>
  <c r="DE106" i="1" s="1"/>
  <c r="DD106" i="1" s="1"/>
  <c r="DS106" i="1"/>
  <c r="DU106" i="1"/>
  <c r="DV106" i="1" s="1"/>
  <c r="DW106" i="1"/>
  <c r="DX106" i="1" s="1"/>
  <c r="DQ106" i="1"/>
  <c r="CT107" i="1"/>
  <c r="CR107" i="1"/>
  <c r="CS107" i="1" s="1"/>
  <c r="CL107" i="1"/>
  <c r="CN107" i="1"/>
  <c r="CP107" i="1"/>
  <c r="CQ107" i="1" s="1"/>
  <c r="CG107" i="1"/>
  <c r="CC107" i="1" s="1"/>
  <c r="BZ107" i="1" s="1"/>
  <c r="BY107" i="1" s="1"/>
  <c r="EL111" i="1"/>
  <c r="EI112" i="1"/>
  <c r="EP111" i="1"/>
  <c r="CH108" i="1"/>
  <c r="CJ108" i="1"/>
  <c r="CK108" i="1"/>
  <c r="CO108" i="1"/>
  <c r="CU108" i="1" s="1"/>
  <c r="CM108" i="1"/>
  <c r="FW107" i="1"/>
  <c r="FY107" i="1"/>
  <c r="FT107" i="1"/>
  <c r="GA107" i="1"/>
  <c r="GG107" i="1" s="1"/>
  <c r="FS107" i="1" s="1"/>
  <c r="FO107" i="1" s="1"/>
  <c r="FL107" i="1" s="1"/>
  <c r="FK107" i="1" s="1"/>
  <c r="FV107" i="1"/>
  <c r="FA109" i="1"/>
  <c r="EW109" i="1"/>
  <c r="EX109" i="1" s="1"/>
  <c r="EU109" i="1"/>
  <c r="EY109" i="1"/>
  <c r="EZ109" i="1" s="1"/>
  <c r="ES109" i="1"/>
  <c r="EN109" i="1"/>
  <c r="EJ109" i="1" s="1"/>
  <c r="EG109" i="1" s="1"/>
  <c r="EF109" i="1" s="1"/>
  <c r="CB110" i="1"/>
  <c r="CE109" i="1"/>
  <c r="CI109" i="1"/>
  <c r="FN109" i="1"/>
  <c r="FQ108" i="1"/>
  <c r="FU108" i="1"/>
  <c r="DM349" i="1" l="1"/>
  <c r="DO349" i="1"/>
  <c r="DP349" i="1"/>
  <c r="DR349" i="1"/>
  <c r="DT349" i="1"/>
  <c r="DZ349" i="1" s="1"/>
  <c r="FX227" i="1"/>
  <c r="GB227" i="1"/>
  <c r="GC227" i="1" s="1"/>
  <c r="GD227" i="1"/>
  <c r="GE227" i="1" s="1"/>
  <c r="GF227" i="1"/>
  <c r="FZ227" i="1"/>
  <c r="FQ229" i="1"/>
  <c r="FU229" i="1"/>
  <c r="FN230" i="1"/>
  <c r="DG230" i="1"/>
  <c r="DN229" i="1"/>
  <c r="DJ229" i="1"/>
  <c r="DJ350" i="1"/>
  <c r="DN350" i="1"/>
  <c r="DP228" i="1"/>
  <c r="DR228" i="1"/>
  <c r="DM228" i="1"/>
  <c r="DO228" i="1"/>
  <c r="DT228" i="1"/>
  <c r="DZ228" i="1" s="1"/>
  <c r="FY228" i="1"/>
  <c r="FV228" i="1"/>
  <c r="FW228" i="1"/>
  <c r="FT228" i="1"/>
  <c r="GA228" i="1"/>
  <c r="GG228" i="1" s="1"/>
  <c r="FS228" i="1" s="1"/>
  <c r="FO228" i="1" s="1"/>
  <c r="FL228" i="1" s="1"/>
  <c r="FK228" i="1" s="1"/>
  <c r="FQ351" i="1"/>
  <c r="FU351" i="1"/>
  <c r="DY348" i="1"/>
  <c r="DL348" i="1"/>
  <c r="DH348" i="1" s="1"/>
  <c r="DE348" i="1" s="1"/>
  <c r="DD348" i="1" s="1"/>
  <c r="DU348" i="1"/>
  <c r="DV348" i="1" s="1"/>
  <c r="DW348" i="1"/>
  <c r="DX348" i="1" s="1"/>
  <c r="DQ348" i="1"/>
  <c r="DS348" i="1"/>
  <c r="GF349" i="1"/>
  <c r="GB349" i="1"/>
  <c r="GC349" i="1" s="1"/>
  <c r="FZ349" i="1"/>
  <c r="GD349" i="1"/>
  <c r="GE349" i="1" s="1"/>
  <c r="FX349" i="1"/>
  <c r="GA350" i="1"/>
  <c r="GG350" i="1" s="1"/>
  <c r="FS350" i="1" s="1"/>
  <c r="FO350" i="1" s="1"/>
  <c r="FL350" i="1" s="1"/>
  <c r="FK350" i="1" s="1"/>
  <c r="FT350" i="1"/>
  <c r="FV350" i="1"/>
  <c r="FW350" i="1"/>
  <c r="FY350" i="1"/>
  <c r="DS227" i="1"/>
  <c r="DW227" i="1"/>
  <c r="DX227" i="1" s="1"/>
  <c r="DY227" i="1"/>
  <c r="DL227" i="1"/>
  <c r="DH227" i="1" s="1"/>
  <c r="DE227" i="1" s="1"/>
  <c r="DD227" i="1" s="1"/>
  <c r="DQ227" i="1"/>
  <c r="DU227" i="1"/>
  <c r="DV227" i="1" s="1"/>
  <c r="CB353" i="1"/>
  <c r="CI352" i="1"/>
  <c r="CE352" i="1"/>
  <c r="ER351" i="1"/>
  <c r="EO351" i="1"/>
  <c r="ET351" i="1"/>
  <c r="EQ351" i="1"/>
  <c r="EV351" i="1"/>
  <c r="FB351" i="1" s="1"/>
  <c r="FN352" i="1"/>
  <c r="EP352" i="1"/>
  <c r="EI353" i="1"/>
  <c r="EL352" i="1"/>
  <c r="EW350" i="1"/>
  <c r="EX350" i="1" s="1"/>
  <c r="EN350" i="1"/>
  <c r="EJ350" i="1" s="1"/>
  <c r="EG350" i="1" s="1"/>
  <c r="EF350" i="1" s="1"/>
  <c r="FA350" i="1"/>
  <c r="ES350" i="1"/>
  <c r="EY350" i="1"/>
  <c r="EZ350" i="1" s="1"/>
  <c r="EU350" i="1"/>
  <c r="DG351" i="1"/>
  <c r="CR350" i="1"/>
  <c r="CS350" i="1" s="1"/>
  <c r="CN350" i="1"/>
  <c r="CP350" i="1"/>
  <c r="CQ350" i="1" s="1"/>
  <c r="CG350" i="1"/>
  <c r="CC350" i="1" s="1"/>
  <c r="BZ350" i="1" s="1"/>
  <c r="BY350" i="1" s="1"/>
  <c r="CT350" i="1"/>
  <c r="CL350" i="1"/>
  <c r="CM351" i="1"/>
  <c r="CJ351" i="1"/>
  <c r="CK351" i="1"/>
  <c r="CO351" i="1"/>
  <c r="CU351" i="1" s="1"/>
  <c r="CH351" i="1"/>
  <c r="EQ231" i="1"/>
  <c r="EO231" i="1"/>
  <c r="EV231" i="1"/>
  <c r="FB231" i="1" s="1"/>
  <c r="ET231" i="1"/>
  <c r="ER231" i="1"/>
  <c r="EU230" i="1"/>
  <c r="FA230" i="1"/>
  <c r="ES230" i="1"/>
  <c r="EY230" i="1"/>
  <c r="EZ230" i="1" s="1"/>
  <c r="EW230" i="1"/>
  <c r="EX230" i="1" s="1"/>
  <c r="EN230" i="1"/>
  <c r="EJ230" i="1" s="1"/>
  <c r="EG230" i="1" s="1"/>
  <c r="EF230" i="1" s="1"/>
  <c r="CT231" i="1"/>
  <c r="CL231" i="1"/>
  <c r="CR231" i="1"/>
  <c r="CS231" i="1" s="1"/>
  <c r="CP231" i="1"/>
  <c r="CQ231" i="1" s="1"/>
  <c r="CN231" i="1"/>
  <c r="CG231" i="1"/>
  <c r="CC231" i="1" s="1"/>
  <c r="BZ231" i="1" s="1"/>
  <c r="BY231" i="1" s="1"/>
  <c r="EI233" i="1"/>
  <c r="EL232" i="1"/>
  <c r="EP232" i="1"/>
  <c r="CE233" i="1"/>
  <c r="CB234" i="1"/>
  <c r="CI233" i="1"/>
  <c r="CH232" i="1"/>
  <c r="CM232" i="1"/>
  <c r="CJ232" i="1"/>
  <c r="CO232" i="1"/>
  <c r="CU232" i="1" s="1"/>
  <c r="CK232" i="1"/>
  <c r="EL112" i="1"/>
  <c r="EI113" i="1"/>
  <c r="EP112" i="1"/>
  <c r="EY110" i="1"/>
  <c r="EZ110" i="1" s="1"/>
  <c r="EN110" i="1"/>
  <c r="EJ110" i="1" s="1"/>
  <c r="EG110" i="1" s="1"/>
  <c r="EF110" i="1" s="1"/>
  <c r="EU110" i="1"/>
  <c r="FA110" i="1"/>
  <c r="ES110" i="1"/>
  <c r="EW110" i="1"/>
  <c r="EX110" i="1" s="1"/>
  <c r="FT108" i="1"/>
  <c r="FV108" i="1"/>
  <c r="FY108" i="1"/>
  <c r="GA108" i="1"/>
  <c r="GG108" i="1" s="1"/>
  <c r="FS108" i="1" s="1"/>
  <c r="FO108" i="1" s="1"/>
  <c r="FL108" i="1" s="1"/>
  <c r="FK108" i="1" s="1"/>
  <c r="FW108" i="1"/>
  <c r="DP108" i="1"/>
  <c r="DR108" i="1"/>
  <c r="DT108" i="1"/>
  <c r="DZ108" i="1" s="1"/>
  <c r="DM108" i="1"/>
  <c r="DO108" i="1"/>
  <c r="CO109" i="1"/>
  <c r="CU109" i="1" s="1"/>
  <c r="CH109" i="1"/>
  <c r="CJ109" i="1"/>
  <c r="CM109" i="1"/>
  <c r="CK109" i="1"/>
  <c r="DG110" i="1"/>
  <c r="DJ109" i="1"/>
  <c r="DN109" i="1"/>
  <c r="FN110" i="1"/>
  <c r="FQ109" i="1"/>
  <c r="FU109" i="1"/>
  <c r="DQ107" i="1"/>
  <c r="DS107" i="1"/>
  <c r="DL107" i="1"/>
  <c r="DH107" i="1" s="1"/>
  <c r="DE107" i="1" s="1"/>
  <c r="DD107" i="1" s="1"/>
  <c r="DY107" i="1"/>
  <c r="DW107" i="1"/>
  <c r="DX107" i="1" s="1"/>
  <c r="DU107" i="1"/>
  <c r="DV107" i="1" s="1"/>
  <c r="CB111" i="1"/>
  <c r="CE110" i="1"/>
  <c r="CI110" i="1"/>
  <c r="CT108" i="1"/>
  <c r="CP108" i="1"/>
  <c r="CQ108" i="1" s="1"/>
  <c r="CG108" i="1"/>
  <c r="CC108" i="1" s="1"/>
  <c r="BZ108" i="1" s="1"/>
  <c r="BY108" i="1" s="1"/>
  <c r="CR108" i="1"/>
  <c r="CS108" i="1" s="1"/>
  <c r="CN108" i="1"/>
  <c r="CL108" i="1"/>
  <c r="GB107" i="1"/>
  <c r="GC107" i="1" s="1"/>
  <c r="GD107" i="1"/>
  <c r="GE107" i="1" s="1"/>
  <c r="FZ107" i="1"/>
  <c r="GF107" i="1"/>
  <c r="FX107" i="1"/>
  <c r="EO111" i="1"/>
  <c r="EV111" i="1"/>
  <c r="FB111" i="1" s="1"/>
  <c r="ER111" i="1"/>
  <c r="EQ111" i="1"/>
  <c r="ET111" i="1"/>
  <c r="DJ351" i="1" l="1"/>
  <c r="DN351" i="1"/>
  <c r="DT229" i="1"/>
  <c r="DZ229" i="1" s="1"/>
  <c r="DM229" i="1"/>
  <c r="DO229" i="1"/>
  <c r="DP229" i="1"/>
  <c r="DR229" i="1"/>
  <c r="FW351" i="1"/>
  <c r="FV351" i="1"/>
  <c r="FY351" i="1"/>
  <c r="FT351" i="1"/>
  <c r="GA351" i="1"/>
  <c r="GG351" i="1" s="1"/>
  <c r="FS351" i="1" s="1"/>
  <c r="FO351" i="1" s="1"/>
  <c r="FL351" i="1" s="1"/>
  <c r="FK351" i="1" s="1"/>
  <c r="DG231" i="1"/>
  <c r="DN230" i="1"/>
  <c r="DJ230" i="1"/>
  <c r="FQ352" i="1"/>
  <c r="FU352" i="1"/>
  <c r="DU228" i="1"/>
  <c r="DV228" i="1" s="1"/>
  <c r="DW228" i="1"/>
  <c r="DX228" i="1" s="1"/>
  <c r="DQ228" i="1"/>
  <c r="DY228" i="1"/>
  <c r="DS228" i="1"/>
  <c r="DL228" i="1"/>
  <c r="DH228" i="1" s="1"/>
  <c r="DE228" i="1" s="1"/>
  <c r="DD228" i="1" s="1"/>
  <c r="FQ230" i="1"/>
  <c r="FU230" i="1"/>
  <c r="FN231" i="1"/>
  <c r="FW229" i="1"/>
  <c r="FT229" i="1"/>
  <c r="FY229" i="1"/>
  <c r="FV229" i="1"/>
  <c r="GA229" i="1"/>
  <c r="GG229" i="1" s="1"/>
  <c r="FS229" i="1" s="1"/>
  <c r="FO229" i="1" s="1"/>
  <c r="FL229" i="1" s="1"/>
  <c r="FK229" i="1" s="1"/>
  <c r="FX350" i="1"/>
  <c r="GB350" i="1"/>
  <c r="GC350" i="1" s="1"/>
  <c r="GD350" i="1"/>
  <c r="GE350" i="1" s="1"/>
  <c r="GF350" i="1"/>
  <c r="FZ350" i="1"/>
  <c r="FX228" i="1"/>
  <c r="GF228" i="1"/>
  <c r="GD228" i="1"/>
  <c r="GE228" i="1" s="1"/>
  <c r="FZ228" i="1"/>
  <c r="GB228" i="1"/>
  <c r="GC228" i="1" s="1"/>
  <c r="DM350" i="1"/>
  <c r="DO350" i="1"/>
  <c r="DP350" i="1"/>
  <c r="DR350" i="1"/>
  <c r="DT350" i="1"/>
  <c r="DZ350" i="1" s="1"/>
  <c r="DL349" i="1"/>
  <c r="DH349" i="1" s="1"/>
  <c r="DE349" i="1" s="1"/>
  <c r="DD349" i="1" s="1"/>
  <c r="DU349" i="1"/>
  <c r="DV349" i="1" s="1"/>
  <c r="DY349" i="1"/>
  <c r="DQ349" i="1"/>
  <c r="DW349" i="1"/>
  <c r="DX349" i="1" s="1"/>
  <c r="DS349" i="1"/>
  <c r="EP353" i="1"/>
  <c r="EI354" i="1"/>
  <c r="EL353" i="1"/>
  <c r="CN351" i="1"/>
  <c r="CR351" i="1"/>
  <c r="CS351" i="1" s="1"/>
  <c r="CL351" i="1"/>
  <c r="CG351" i="1"/>
  <c r="CC351" i="1" s="1"/>
  <c r="BZ351" i="1" s="1"/>
  <c r="BY351" i="1" s="1"/>
  <c r="CT351" i="1"/>
  <c r="CP351" i="1"/>
  <c r="CQ351" i="1" s="1"/>
  <c r="EO352" i="1"/>
  <c r="ET352" i="1"/>
  <c r="ER352" i="1"/>
  <c r="EQ352" i="1"/>
  <c r="EV352" i="1"/>
  <c r="FB352" i="1" s="1"/>
  <c r="FN353" i="1"/>
  <c r="FA351" i="1"/>
  <c r="ES351" i="1"/>
  <c r="EW351" i="1"/>
  <c r="EX351" i="1" s="1"/>
  <c r="EN351" i="1"/>
  <c r="EJ351" i="1" s="1"/>
  <c r="EG351" i="1" s="1"/>
  <c r="EF351" i="1" s="1"/>
  <c r="EY351" i="1"/>
  <c r="EZ351" i="1" s="1"/>
  <c r="EU351" i="1"/>
  <c r="CJ352" i="1"/>
  <c r="CO352" i="1"/>
  <c r="CU352" i="1" s="1"/>
  <c r="CK352" i="1"/>
  <c r="CM352" i="1"/>
  <c r="CH352" i="1"/>
  <c r="DG352" i="1"/>
  <c r="CE353" i="1"/>
  <c r="CI353" i="1"/>
  <c r="CB354" i="1"/>
  <c r="CM233" i="1"/>
  <c r="CJ233" i="1"/>
  <c r="CO233" i="1"/>
  <c r="CU233" i="1" s="1"/>
  <c r="CK233" i="1"/>
  <c r="CH233" i="1"/>
  <c r="EO232" i="1"/>
  <c r="EV232" i="1"/>
  <c r="FB232" i="1" s="1"/>
  <c r="ET232" i="1"/>
  <c r="EQ232" i="1"/>
  <c r="ER232" i="1"/>
  <c r="EP233" i="1"/>
  <c r="EL233" i="1"/>
  <c r="EI234" i="1"/>
  <c r="EY231" i="1"/>
  <c r="EZ231" i="1" s="1"/>
  <c r="EW231" i="1"/>
  <c r="EX231" i="1" s="1"/>
  <c r="EN231" i="1"/>
  <c r="EJ231" i="1" s="1"/>
  <c r="EG231" i="1" s="1"/>
  <c r="EF231" i="1" s="1"/>
  <c r="EU231" i="1"/>
  <c r="FA231" i="1"/>
  <c r="ES231" i="1"/>
  <c r="CI234" i="1"/>
  <c r="CE234" i="1"/>
  <c r="CB235" i="1"/>
  <c r="CP232" i="1"/>
  <c r="CQ232" i="1" s="1"/>
  <c r="CN232" i="1"/>
  <c r="CT232" i="1"/>
  <c r="CL232" i="1"/>
  <c r="CR232" i="1"/>
  <c r="CS232" i="1" s="1"/>
  <c r="CG232" i="1"/>
  <c r="CC232" i="1" s="1"/>
  <c r="BZ232" i="1" s="1"/>
  <c r="BY232" i="1" s="1"/>
  <c r="CJ110" i="1"/>
  <c r="CM110" i="1"/>
  <c r="CK110" i="1"/>
  <c r="CO110" i="1"/>
  <c r="CU110" i="1" s="1"/>
  <c r="CH110" i="1"/>
  <c r="FY109" i="1"/>
  <c r="FW109" i="1"/>
  <c r="GA109" i="1"/>
  <c r="GG109" i="1" s="1"/>
  <c r="FS109" i="1" s="1"/>
  <c r="FO109" i="1" s="1"/>
  <c r="FL109" i="1" s="1"/>
  <c r="FK109" i="1" s="1"/>
  <c r="FV109" i="1"/>
  <c r="FT109" i="1"/>
  <c r="CE111" i="1"/>
  <c r="CB112" i="1"/>
  <c r="CI111" i="1"/>
  <c r="FN111" i="1"/>
  <c r="FQ110" i="1"/>
  <c r="FU110" i="1"/>
  <c r="EU111" i="1"/>
  <c r="FA111" i="1"/>
  <c r="EN111" i="1"/>
  <c r="EJ111" i="1" s="1"/>
  <c r="EG111" i="1" s="1"/>
  <c r="EF111" i="1" s="1"/>
  <c r="EY111" i="1"/>
  <c r="EZ111" i="1" s="1"/>
  <c r="ES111" i="1"/>
  <c r="EW111" i="1"/>
  <c r="EX111" i="1" s="1"/>
  <c r="DM109" i="1"/>
  <c r="DO109" i="1"/>
  <c r="DT109" i="1"/>
  <c r="DZ109" i="1" s="1"/>
  <c r="DR109" i="1"/>
  <c r="DP109" i="1"/>
  <c r="EV112" i="1"/>
  <c r="FB112" i="1" s="1"/>
  <c r="ER112" i="1"/>
  <c r="EO112" i="1"/>
  <c r="EQ112" i="1"/>
  <c r="ET112" i="1"/>
  <c r="CP109" i="1"/>
  <c r="CQ109" i="1" s="1"/>
  <c r="CR109" i="1"/>
  <c r="CS109" i="1" s="1"/>
  <c r="CN109" i="1"/>
  <c r="CT109" i="1"/>
  <c r="CG109" i="1"/>
  <c r="CC109" i="1" s="1"/>
  <c r="BZ109" i="1" s="1"/>
  <c r="BY109" i="1" s="1"/>
  <c r="CL109" i="1"/>
  <c r="DU108" i="1"/>
  <c r="DV108" i="1" s="1"/>
  <c r="DW108" i="1"/>
  <c r="DX108" i="1" s="1"/>
  <c r="DQ108" i="1"/>
  <c r="DS108" i="1"/>
  <c r="DY108" i="1"/>
  <c r="DL108" i="1"/>
  <c r="DH108" i="1" s="1"/>
  <c r="DE108" i="1" s="1"/>
  <c r="DD108" i="1" s="1"/>
  <c r="FX108" i="1"/>
  <c r="GF108" i="1"/>
  <c r="FZ108" i="1"/>
  <c r="GB108" i="1"/>
  <c r="GC108" i="1" s="1"/>
  <c r="GD108" i="1"/>
  <c r="GE108" i="1" s="1"/>
  <c r="EL113" i="1"/>
  <c r="EI114" i="1"/>
  <c r="EP113" i="1"/>
  <c r="DG111" i="1"/>
  <c r="DJ110" i="1"/>
  <c r="DN110" i="1"/>
  <c r="DJ352" i="1" l="1"/>
  <c r="DN352" i="1"/>
  <c r="DP230" i="1"/>
  <c r="DO230" i="1"/>
  <c r="DR230" i="1"/>
  <c r="DT230" i="1"/>
  <c r="DZ230" i="1" s="1"/>
  <c r="DM230" i="1"/>
  <c r="DG232" i="1"/>
  <c r="DN231" i="1"/>
  <c r="DJ231" i="1"/>
  <c r="GF229" i="1"/>
  <c r="FZ229" i="1"/>
  <c r="GB229" i="1"/>
  <c r="GC229" i="1" s="1"/>
  <c r="GD229" i="1"/>
  <c r="GE229" i="1" s="1"/>
  <c r="FX229" i="1"/>
  <c r="DW229" i="1"/>
  <c r="DX229" i="1" s="1"/>
  <c r="DU229" i="1"/>
  <c r="DV229" i="1" s="1"/>
  <c r="DS229" i="1"/>
  <c r="DQ229" i="1"/>
  <c r="DY229" i="1"/>
  <c r="DL229" i="1"/>
  <c r="DH229" i="1" s="1"/>
  <c r="DE229" i="1" s="1"/>
  <c r="DD229" i="1" s="1"/>
  <c r="FQ353" i="1"/>
  <c r="FU353" i="1"/>
  <c r="FX351" i="1"/>
  <c r="GF351" i="1"/>
  <c r="FZ351" i="1"/>
  <c r="GB351" i="1"/>
  <c r="GC351" i="1" s="1"/>
  <c r="GD351" i="1"/>
  <c r="GE351" i="1" s="1"/>
  <c r="DW350" i="1"/>
  <c r="DX350" i="1" s="1"/>
  <c r="DY350" i="1"/>
  <c r="DQ350" i="1"/>
  <c r="DL350" i="1"/>
  <c r="DH350" i="1" s="1"/>
  <c r="DE350" i="1" s="1"/>
  <c r="DD350" i="1" s="1"/>
  <c r="DU350" i="1"/>
  <c r="DV350" i="1" s="1"/>
  <c r="DS350" i="1"/>
  <c r="FQ231" i="1"/>
  <c r="FU231" i="1"/>
  <c r="FN232" i="1"/>
  <c r="DR351" i="1"/>
  <c r="DP351" i="1"/>
  <c r="DO351" i="1"/>
  <c r="DM351" i="1"/>
  <c r="DT351" i="1"/>
  <c r="DZ351" i="1" s="1"/>
  <c r="FT230" i="1"/>
  <c r="FV230" i="1"/>
  <c r="FW230" i="1"/>
  <c r="FY230" i="1"/>
  <c r="GA230" i="1"/>
  <c r="GG230" i="1" s="1"/>
  <c r="FS230" i="1" s="1"/>
  <c r="FO230" i="1" s="1"/>
  <c r="FL230" i="1" s="1"/>
  <c r="FK230" i="1" s="1"/>
  <c r="FV352" i="1"/>
  <c r="FW352" i="1"/>
  <c r="FT352" i="1"/>
  <c r="FY352" i="1"/>
  <c r="GA352" i="1"/>
  <c r="GG352" i="1" s="1"/>
  <c r="FS352" i="1" s="1"/>
  <c r="FO352" i="1" s="1"/>
  <c r="FL352" i="1" s="1"/>
  <c r="FK352" i="1" s="1"/>
  <c r="CB355" i="1"/>
  <c r="CE354" i="1"/>
  <c r="CI354" i="1"/>
  <c r="EW352" i="1"/>
  <c r="EX352" i="1" s="1"/>
  <c r="EY352" i="1"/>
  <c r="EZ352" i="1" s="1"/>
  <c r="EN352" i="1"/>
  <c r="EJ352" i="1" s="1"/>
  <c r="EG352" i="1" s="1"/>
  <c r="EF352" i="1" s="1"/>
  <c r="EU352" i="1"/>
  <c r="ES352" i="1"/>
  <c r="FA352" i="1"/>
  <c r="EL354" i="1"/>
  <c r="EI355" i="1"/>
  <c r="EP354" i="1"/>
  <c r="CK353" i="1"/>
  <c r="CJ353" i="1"/>
  <c r="CH353" i="1"/>
  <c r="CO353" i="1"/>
  <c r="CU353" i="1" s="1"/>
  <c r="CM353" i="1"/>
  <c r="EV353" i="1"/>
  <c r="FB353" i="1" s="1"/>
  <c r="ET353" i="1"/>
  <c r="ER353" i="1"/>
  <c r="EO353" i="1"/>
  <c r="EQ353" i="1"/>
  <c r="DG353" i="1"/>
  <c r="CR352" i="1"/>
  <c r="CS352" i="1" s="1"/>
  <c r="CN352" i="1"/>
  <c r="CP352" i="1"/>
  <c r="CQ352" i="1" s="1"/>
  <c r="CG352" i="1"/>
  <c r="CC352" i="1" s="1"/>
  <c r="BZ352" i="1" s="1"/>
  <c r="BY352" i="1" s="1"/>
  <c r="CT352" i="1"/>
  <c r="CL352" i="1"/>
  <c r="FN354" i="1"/>
  <c r="CJ234" i="1"/>
  <c r="CO234" i="1"/>
  <c r="CU234" i="1" s="1"/>
  <c r="CM234" i="1"/>
  <c r="CH234" i="1"/>
  <c r="CK234" i="1"/>
  <c r="ER233" i="1"/>
  <c r="EO233" i="1"/>
  <c r="EV233" i="1"/>
  <c r="FB233" i="1" s="1"/>
  <c r="ET233" i="1"/>
  <c r="EQ233" i="1"/>
  <c r="CN233" i="1"/>
  <c r="CR233" i="1"/>
  <c r="CS233" i="1" s="1"/>
  <c r="CT233" i="1"/>
  <c r="CL233" i="1"/>
  <c r="CG233" i="1"/>
  <c r="CC233" i="1" s="1"/>
  <c r="BZ233" i="1" s="1"/>
  <c r="BY233" i="1" s="1"/>
  <c r="CP233" i="1"/>
  <c r="CQ233" i="1" s="1"/>
  <c r="EW232" i="1"/>
  <c r="EX232" i="1" s="1"/>
  <c r="FA232" i="1"/>
  <c r="ES232" i="1"/>
  <c r="EN232" i="1"/>
  <c r="EJ232" i="1" s="1"/>
  <c r="EG232" i="1" s="1"/>
  <c r="EF232" i="1" s="1"/>
  <c r="EU232" i="1"/>
  <c r="EY232" i="1"/>
  <c r="EZ232" i="1" s="1"/>
  <c r="EI235" i="1"/>
  <c r="EP234" i="1"/>
  <c r="EL234" i="1"/>
  <c r="CE235" i="1"/>
  <c r="CB236" i="1"/>
  <c r="CI235" i="1"/>
  <c r="GA110" i="1"/>
  <c r="GG110" i="1" s="1"/>
  <c r="FS110" i="1" s="1"/>
  <c r="FO110" i="1" s="1"/>
  <c r="FL110" i="1" s="1"/>
  <c r="FK110" i="1" s="1"/>
  <c r="FW110" i="1"/>
  <c r="FT110" i="1"/>
  <c r="FY110" i="1"/>
  <c r="FV110" i="1"/>
  <c r="DL109" i="1"/>
  <c r="DH109" i="1" s="1"/>
  <c r="DE109" i="1" s="1"/>
  <c r="DD109" i="1" s="1"/>
  <c r="DQ109" i="1"/>
  <c r="DS109" i="1"/>
  <c r="DY109" i="1"/>
  <c r="DU109" i="1"/>
  <c r="DV109" i="1" s="1"/>
  <c r="DW109" i="1"/>
  <c r="DX109" i="1" s="1"/>
  <c r="DM110" i="1"/>
  <c r="DO110" i="1"/>
  <c r="DP110" i="1"/>
  <c r="DR110" i="1"/>
  <c r="DT110" i="1"/>
  <c r="DZ110" i="1" s="1"/>
  <c r="EY112" i="1"/>
  <c r="EZ112" i="1" s="1"/>
  <c r="ES112" i="1"/>
  <c r="FA112" i="1"/>
  <c r="EW112" i="1"/>
  <c r="EX112" i="1" s="1"/>
  <c r="EN112" i="1"/>
  <c r="EJ112" i="1" s="1"/>
  <c r="EG112" i="1" s="1"/>
  <c r="EF112" i="1" s="1"/>
  <c r="EU112" i="1"/>
  <c r="FN112" i="1"/>
  <c r="FQ111" i="1"/>
  <c r="FU111" i="1"/>
  <c r="CK111" i="1"/>
  <c r="CO111" i="1"/>
  <c r="CU111" i="1" s="1"/>
  <c r="CJ111" i="1"/>
  <c r="CM111" i="1"/>
  <c r="CH111" i="1"/>
  <c r="CP110" i="1"/>
  <c r="CQ110" i="1" s="1"/>
  <c r="CG110" i="1"/>
  <c r="CC110" i="1" s="1"/>
  <c r="BZ110" i="1" s="1"/>
  <c r="BY110" i="1" s="1"/>
  <c r="CR110" i="1"/>
  <c r="CS110" i="1" s="1"/>
  <c r="CL110" i="1"/>
  <c r="CT110" i="1"/>
  <c r="CN110" i="1"/>
  <c r="DJ111" i="1"/>
  <c r="DG112" i="1"/>
  <c r="DN111" i="1"/>
  <c r="CB113" i="1"/>
  <c r="CE112" i="1"/>
  <c r="CI112" i="1"/>
  <c r="EO113" i="1"/>
  <c r="EQ113" i="1"/>
  <c r="ET113" i="1"/>
  <c r="EV113" i="1"/>
  <c r="FB113" i="1" s="1"/>
  <c r="ER113" i="1"/>
  <c r="EI115" i="1"/>
  <c r="EL114" i="1"/>
  <c r="EP114" i="1"/>
  <c r="GD109" i="1"/>
  <c r="GE109" i="1" s="1"/>
  <c r="FX109" i="1"/>
  <c r="GB109" i="1"/>
  <c r="GC109" i="1" s="1"/>
  <c r="FZ109" i="1"/>
  <c r="GF109" i="1"/>
  <c r="DG233" i="1" l="1"/>
  <c r="DN232" i="1"/>
  <c r="DJ232" i="1"/>
  <c r="FT353" i="1"/>
  <c r="FV353" i="1"/>
  <c r="FW353" i="1"/>
  <c r="FY353" i="1"/>
  <c r="GA353" i="1"/>
  <c r="GG353" i="1" s="1"/>
  <c r="FS353" i="1" s="1"/>
  <c r="FO353" i="1" s="1"/>
  <c r="FL353" i="1" s="1"/>
  <c r="FK353" i="1" s="1"/>
  <c r="DL230" i="1"/>
  <c r="DH230" i="1" s="1"/>
  <c r="DE230" i="1" s="1"/>
  <c r="DD230" i="1" s="1"/>
  <c r="DU230" i="1"/>
  <c r="DV230" i="1" s="1"/>
  <c r="DQ230" i="1"/>
  <c r="DY230" i="1"/>
  <c r="DW230" i="1"/>
  <c r="DX230" i="1" s="1"/>
  <c r="DS230" i="1"/>
  <c r="FQ232" i="1"/>
  <c r="FU232" i="1"/>
  <c r="FN233" i="1"/>
  <c r="FV231" i="1"/>
  <c r="FY231" i="1"/>
  <c r="FW231" i="1"/>
  <c r="FT231" i="1"/>
  <c r="GA231" i="1"/>
  <c r="GG231" i="1" s="1"/>
  <c r="FS231" i="1" s="1"/>
  <c r="FO231" i="1" s="1"/>
  <c r="FL231" i="1" s="1"/>
  <c r="FK231" i="1" s="1"/>
  <c r="DJ353" i="1"/>
  <c r="DN353" i="1"/>
  <c r="GD230" i="1"/>
  <c r="GE230" i="1" s="1"/>
  <c r="GB230" i="1"/>
  <c r="GC230" i="1" s="1"/>
  <c r="GF230" i="1"/>
  <c r="FX230" i="1"/>
  <c r="FZ230" i="1"/>
  <c r="FQ354" i="1"/>
  <c r="FU354" i="1"/>
  <c r="GD352" i="1"/>
  <c r="GE352" i="1" s="1"/>
  <c r="GF352" i="1"/>
  <c r="GB352" i="1"/>
  <c r="GC352" i="1" s="1"/>
  <c r="FX352" i="1"/>
  <c r="FZ352" i="1"/>
  <c r="DR352" i="1"/>
  <c r="DO352" i="1"/>
  <c r="DP352" i="1"/>
  <c r="DM352" i="1"/>
  <c r="DT352" i="1"/>
  <c r="DZ352" i="1" s="1"/>
  <c r="DU351" i="1"/>
  <c r="DV351" i="1" s="1"/>
  <c r="DW351" i="1"/>
  <c r="DX351" i="1" s="1"/>
  <c r="DQ351" i="1"/>
  <c r="DY351" i="1"/>
  <c r="DS351" i="1"/>
  <c r="DL351" i="1"/>
  <c r="DH351" i="1" s="1"/>
  <c r="DE351" i="1" s="1"/>
  <c r="DD351" i="1" s="1"/>
  <c r="DT231" i="1"/>
  <c r="DZ231" i="1" s="1"/>
  <c r="DR231" i="1"/>
  <c r="DM231" i="1"/>
  <c r="DO231" i="1"/>
  <c r="DP231" i="1"/>
  <c r="FA353" i="1"/>
  <c r="ES353" i="1"/>
  <c r="EN353" i="1"/>
  <c r="EJ353" i="1" s="1"/>
  <c r="EG353" i="1" s="1"/>
  <c r="EF353" i="1" s="1"/>
  <c r="EY353" i="1"/>
  <c r="EZ353" i="1" s="1"/>
  <c r="EU353" i="1"/>
  <c r="EW353" i="1"/>
  <c r="EX353" i="1" s="1"/>
  <c r="EO354" i="1"/>
  <c r="ET354" i="1"/>
  <c r="ER354" i="1"/>
  <c r="EQ354" i="1"/>
  <c r="EV354" i="1"/>
  <c r="FB354" i="1" s="1"/>
  <c r="FN355" i="1"/>
  <c r="DG354" i="1"/>
  <c r="EP355" i="1"/>
  <c r="EI356" i="1"/>
  <c r="EL355" i="1"/>
  <c r="CJ354" i="1"/>
  <c r="CO354" i="1"/>
  <c r="CU354" i="1" s="1"/>
  <c r="CM354" i="1"/>
  <c r="CH354" i="1"/>
  <c r="CK354" i="1"/>
  <c r="CN353" i="1"/>
  <c r="CP353" i="1"/>
  <c r="CQ353" i="1" s="1"/>
  <c r="CT353" i="1"/>
  <c r="CL353" i="1"/>
  <c r="CG353" i="1"/>
  <c r="CC353" i="1" s="1"/>
  <c r="BZ353" i="1" s="1"/>
  <c r="BY353" i="1" s="1"/>
  <c r="CR353" i="1"/>
  <c r="CS353" i="1" s="1"/>
  <c r="CE355" i="1"/>
  <c r="CI355" i="1"/>
  <c r="CB356" i="1"/>
  <c r="EO234" i="1"/>
  <c r="EV234" i="1"/>
  <c r="FB234" i="1" s="1"/>
  <c r="ET234" i="1"/>
  <c r="EQ234" i="1"/>
  <c r="ER234" i="1"/>
  <c r="EP235" i="1"/>
  <c r="EL235" i="1"/>
  <c r="EI236" i="1"/>
  <c r="FA233" i="1"/>
  <c r="ES233" i="1"/>
  <c r="EW233" i="1"/>
  <c r="EX233" i="1" s="1"/>
  <c r="EY233" i="1"/>
  <c r="EZ233" i="1" s="1"/>
  <c r="EU233" i="1"/>
  <c r="EN233" i="1"/>
  <c r="EJ233" i="1" s="1"/>
  <c r="EG233" i="1" s="1"/>
  <c r="EF233" i="1" s="1"/>
  <c r="CR234" i="1"/>
  <c r="CS234" i="1" s="1"/>
  <c r="CN234" i="1"/>
  <c r="CL234" i="1"/>
  <c r="CP234" i="1"/>
  <c r="CQ234" i="1" s="1"/>
  <c r="CG234" i="1"/>
  <c r="CC234" i="1" s="1"/>
  <c r="BZ234" i="1" s="1"/>
  <c r="BY234" i="1" s="1"/>
  <c r="CT234" i="1"/>
  <c r="CI236" i="1"/>
  <c r="CE236" i="1"/>
  <c r="CB237" i="1"/>
  <c r="CM235" i="1"/>
  <c r="CJ235" i="1"/>
  <c r="CH235" i="1"/>
  <c r="CO235" i="1"/>
  <c r="CU235" i="1" s="1"/>
  <c r="CK235" i="1"/>
  <c r="DT111" i="1"/>
  <c r="DZ111" i="1" s="1"/>
  <c r="DM111" i="1"/>
  <c r="DR111" i="1"/>
  <c r="DO111" i="1"/>
  <c r="DP111" i="1"/>
  <c r="FN113" i="1"/>
  <c r="FQ112" i="1"/>
  <c r="FU112" i="1"/>
  <c r="CR111" i="1"/>
  <c r="CS111" i="1" s="1"/>
  <c r="CL111" i="1"/>
  <c r="CT111" i="1"/>
  <c r="CP111" i="1"/>
  <c r="CQ111" i="1" s="1"/>
  <c r="CG111" i="1"/>
  <c r="CC111" i="1" s="1"/>
  <c r="BZ111" i="1" s="1"/>
  <c r="BY111" i="1" s="1"/>
  <c r="CN111" i="1"/>
  <c r="EL115" i="1"/>
  <c r="EI116" i="1"/>
  <c r="EP115" i="1"/>
  <c r="DY110" i="1"/>
  <c r="DS110" i="1"/>
  <c r="DQ110" i="1"/>
  <c r="DU110" i="1"/>
  <c r="DV110" i="1" s="1"/>
  <c r="DL110" i="1"/>
  <c r="DH110" i="1" s="1"/>
  <c r="DE110" i="1" s="1"/>
  <c r="DD110" i="1" s="1"/>
  <c r="DW110" i="1"/>
  <c r="DX110" i="1" s="1"/>
  <c r="CB114" i="1"/>
  <c r="CE113" i="1"/>
  <c r="CI113" i="1"/>
  <c r="GB110" i="1"/>
  <c r="GC110" i="1" s="1"/>
  <c r="FX110" i="1"/>
  <c r="GF110" i="1"/>
  <c r="GD110" i="1"/>
  <c r="GE110" i="1" s="1"/>
  <c r="FZ110" i="1"/>
  <c r="DG113" i="1"/>
  <c r="DJ112" i="1"/>
  <c r="DN112" i="1"/>
  <c r="FA113" i="1"/>
  <c r="EN113" i="1"/>
  <c r="EJ113" i="1" s="1"/>
  <c r="EG113" i="1" s="1"/>
  <c r="EF113" i="1" s="1"/>
  <c r="ES113" i="1"/>
  <c r="EW113" i="1"/>
  <c r="EX113" i="1" s="1"/>
  <c r="EY113" i="1"/>
  <c r="EZ113" i="1" s="1"/>
  <c r="EU113" i="1"/>
  <c r="EV114" i="1"/>
  <c r="FB114" i="1" s="1"/>
  <c r="ER114" i="1"/>
  <c r="EQ114" i="1"/>
  <c r="EO114" i="1"/>
  <c r="ET114" i="1"/>
  <c r="CM112" i="1"/>
  <c r="CH112" i="1"/>
  <c r="CO112" i="1"/>
  <c r="CU112" i="1" s="1"/>
  <c r="CJ112" i="1"/>
  <c r="CK112" i="1"/>
  <c r="FW111" i="1"/>
  <c r="FY111" i="1"/>
  <c r="GA111" i="1"/>
  <c r="GG111" i="1" s="1"/>
  <c r="FS111" i="1" s="1"/>
  <c r="FO111" i="1" s="1"/>
  <c r="FL111" i="1" s="1"/>
  <c r="FK111" i="1" s="1"/>
  <c r="FV111" i="1"/>
  <c r="FT111" i="1"/>
  <c r="FQ355" i="1" l="1"/>
  <c r="FU355" i="1"/>
  <c r="DQ352" i="1"/>
  <c r="DU352" i="1"/>
  <c r="DV352" i="1" s="1"/>
  <c r="DW352" i="1"/>
  <c r="DX352" i="1" s="1"/>
  <c r="DY352" i="1"/>
  <c r="DL352" i="1"/>
  <c r="DH352" i="1" s="1"/>
  <c r="DE352" i="1" s="1"/>
  <c r="DD352" i="1" s="1"/>
  <c r="DS352" i="1"/>
  <c r="DO353" i="1"/>
  <c r="DR353" i="1"/>
  <c r="DP353" i="1"/>
  <c r="DM353" i="1"/>
  <c r="DT353" i="1"/>
  <c r="DZ353" i="1" s="1"/>
  <c r="FV232" i="1"/>
  <c r="FT232" i="1"/>
  <c r="FY232" i="1"/>
  <c r="FW232" i="1"/>
  <c r="GA232" i="1"/>
  <c r="GG232" i="1" s="1"/>
  <c r="FS232" i="1" s="1"/>
  <c r="FO232" i="1" s="1"/>
  <c r="FL232" i="1" s="1"/>
  <c r="FK232" i="1" s="1"/>
  <c r="FT354" i="1"/>
  <c r="FY354" i="1"/>
  <c r="FV354" i="1"/>
  <c r="FW354" i="1"/>
  <c r="GA354" i="1"/>
  <c r="GG354" i="1" s="1"/>
  <c r="FS354" i="1" s="1"/>
  <c r="FO354" i="1" s="1"/>
  <c r="FL354" i="1" s="1"/>
  <c r="FK354" i="1" s="1"/>
  <c r="GF231" i="1"/>
  <c r="FZ231" i="1"/>
  <c r="GB231" i="1"/>
  <c r="GC231" i="1" s="1"/>
  <c r="GD231" i="1"/>
  <c r="GE231" i="1" s="1"/>
  <c r="FX231" i="1"/>
  <c r="FX353" i="1"/>
  <c r="GB353" i="1"/>
  <c r="GC353" i="1" s="1"/>
  <c r="GD353" i="1"/>
  <c r="GE353" i="1" s="1"/>
  <c r="GF353" i="1"/>
  <c r="FZ353" i="1"/>
  <c r="DY231" i="1"/>
  <c r="DS231" i="1"/>
  <c r="DL231" i="1"/>
  <c r="DH231" i="1" s="1"/>
  <c r="DE231" i="1" s="1"/>
  <c r="DD231" i="1" s="1"/>
  <c r="DU231" i="1"/>
  <c r="DV231" i="1" s="1"/>
  <c r="DW231" i="1"/>
  <c r="DX231" i="1" s="1"/>
  <c r="DQ231" i="1"/>
  <c r="DP232" i="1"/>
  <c r="DT232" i="1"/>
  <c r="DZ232" i="1" s="1"/>
  <c r="DO232" i="1"/>
  <c r="DM232" i="1"/>
  <c r="DR232" i="1"/>
  <c r="DJ354" i="1"/>
  <c r="DN354" i="1"/>
  <c r="FQ233" i="1"/>
  <c r="FU233" i="1"/>
  <c r="FN234" i="1"/>
  <c r="DG234" i="1"/>
  <c r="DJ233" i="1"/>
  <c r="DN233" i="1"/>
  <c r="CB357" i="1"/>
  <c r="CE356" i="1"/>
  <c r="CI356" i="1"/>
  <c r="CK355" i="1"/>
  <c r="CO355" i="1"/>
  <c r="CU355" i="1" s="1"/>
  <c r="CJ355" i="1"/>
  <c r="CH355" i="1"/>
  <c r="CM355" i="1"/>
  <c r="CR354" i="1"/>
  <c r="CS354" i="1" s="1"/>
  <c r="CG354" i="1"/>
  <c r="CC354" i="1" s="1"/>
  <c r="BZ354" i="1" s="1"/>
  <c r="BY354" i="1" s="1"/>
  <c r="CN354" i="1"/>
  <c r="CL354" i="1"/>
  <c r="CT354" i="1"/>
  <c r="CP354" i="1"/>
  <c r="CQ354" i="1" s="1"/>
  <c r="FN356" i="1"/>
  <c r="EL356" i="1"/>
  <c r="EP356" i="1"/>
  <c r="EI357" i="1"/>
  <c r="EV355" i="1"/>
  <c r="FB355" i="1" s="1"/>
  <c r="ET355" i="1"/>
  <c r="ER355" i="1"/>
  <c r="EQ355" i="1"/>
  <c r="EO355" i="1"/>
  <c r="EW354" i="1"/>
  <c r="EX354" i="1" s="1"/>
  <c r="FA354" i="1"/>
  <c r="EN354" i="1"/>
  <c r="EJ354" i="1" s="1"/>
  <c r="EG354" i="1" s="1"/>
  <c r="EF354" i="1" s="1"/>
  <c r="EY354" i="1"/>
  <c r="EZ354" i="1" s="1"/>
  <c r="EU354" i="1"/>
  <c r="ES354" i="1"/>
  <c r="DG355" i="1"/>
  <c r="CE237" i="1"/>
  <c r="CI237" i="1"/>
  <c r="CB238" i="1"/>
  <c r="EW234" i="1"/>
  <c r="EX234" i="1" s="1"/>
  <c r="EN234" i="1"/>
  <c r="EJ234" i="1" s="1"/>
  <c r="EG234" i="1" s="1"/>
  <c r="EF234" i="1" s="1"/>
  <c r="FA234" i="1"/>
  <c r="ES234" i="1"/>
  <c r="EY234" i="1"/>
  <c r="EZ234" i="1" s="1"/>
  <c r="EU234" i="1"/>
  <c r="CJ236" i="1"/>
  <c r="CH236" i="1"/>
  <c r="CO236" i="1"/>
  <c r="CU236" i="1" s="1"/>
  <c r="CM236" i="1"/>
  <c r="CK236" i="1"/>
  <c r="EI237" i="1"/>
  <c r="EL236" i="1"/>
  <c r="EP236" i="1"/>
  <c r="CN235" i="1"/>
  <c r="CR235" i="1"/>
  <c r="CS235" i="1" s="1"/>
  <c r="CT235" i="1"/>
  <c r="CP235" i="1"/>
  <c r="CQ235" i="1" s="1"/>
  <c r="CG235" i="1"/>
  <c r="CC235" i="1" s="1"/>
  <c r="BZ235" i="1" s="1"/>
  <c r="BY235" i="1" s="1"/>
  <c r="CL235" i="1"/>
  <c r="ER235" i="1"/>
  <c r="EO235" i="1"/>
  <c r="EV235" i="1"/>
  <c r="FB235" i="1" s="1"/>
  <c r="ET235" i="1"/>
  <c r="EQ235" i="1"/>
  <c r="DJ113" i="1"/>
  <c r="DG114" i="1"/>
  <c r="DN113" i="1"/>
  <c r="CE114" i="1"/>
  <c r="CB115" i="1"/>
  <c r="CI114" i="1"/>
  <c r="EL116" i="1"/>
  <c r="EI117" i="1"/>
  <c r="EP116" i="1"/>
  <c r="FT112" i="1"/>
  <c r="FW112" i="1"/>
  <c r="FY112" i="1"/>
  <c r="FV112" i="1"/>
  <c r="GA112" i="1"/>
  <c r="GG112" i="1" s="1"/>
  <c r="FS112" i="1" s="1"/>
  <c r="FO112" i="1" s="1"/>
  <c r="FL112" i="1" s="1"/>
  <c r="FK112" i="1" s="1"/>
  <c r="CG112" i="1"/>
  <c r="CC112" i="1" s="1"/>
  <c r="BZ112" i="1" s="1"/>
  <c r="BY112" i="1" s="1"/>
  <c r="CT112" i="1"/>
  <c r="CN112" i="1"/>
  <c r="CP112" i="1"/>
  <c r="CQ112" i="1" s="1"/>
  <c r="CR112" i="1"/>
  <c r="CS112" i="1" s="1"/>
  <c r="CL112" i="1"/>
  <c r="FN114" i="1"/>
  <c r="FQ113" i="1"/>
  <c r="FU113" i="1"/>
  <c r="GB111" i="1"/>
  <c r="GC111" i="1" s="1"/>
  <c r="GF111" i="1"/>
  <c r="FX111" i="1"/>
  <c r="GD111" i="1"/>
  <c r="GE111" i="1" s="1"/>
  <c r="FZ111" i="1"/>
  <c r="ES114" i="1"/>
  <c r="EU114" i="1"/>
  <c r="FA114" i="1"/>
  <c r="EN114" i="1"/>
  <c r="EJ114" i="1" s="1"/>
  <c r="EG114" i="1" s="1"/>
  <c r="EF114" i="1" s="1"/>
  <c r="EW114" i="1"/>
  <c r="EX114" i="1" s="1"/>
  <c r="EY114" i="1"/>
  <c r="EZ114" i="1" s="1"/>
  <c r="DM112" i="1"/>
  <c r="DR112" i="1"/>
  <c r="DT112" i="1"/>
  <c r="DZ112" i="1" s="1"/>
  <c r="DP112" i="1"/>
  <c r="DO112" i="1"/>
  <c r="CO113" i="1"/>
  <c r="CU113" i="1" s="1"/>
  <c r="CH113" i="1"/>
  <c r="CJ113" i="1"/>
  <c r="CM113" i="1"/>
  <c r="CK113" i="1"/>
  <c r="DU111" i="1"/>
  <c r="DV111" i="1" s="1"/>
  <c r="DY111" i="1"/>
  <c r="DL111" i="1"/>
  <c r="DH111" i="1" s="1"/>
  <c r="DE111" i="1" s="1"/>
  <c r="DD111" i="1" s="1"/>
  <c r="DS111" i="1"/>
  <c r="DW111" i="1"/>
  <c r="DX111" i="1" s="1"/>
  <c r="DQ111" i="1"/>
  <c r="ET115" i="1"/>
  <c r="EO115" i="1"/>
  <c r="EV115" i="1"/>
  <c r="FB115" i="1" s="1"/>
  <c r="ER115" i="1"/>
  <c r="EQ115" i="1"/>
  <c r="FV233" i="1" l="1"/>
  <c r="FT233" i="1"/>
  <c r="FY233" i="1"/>
  <c r="FW233" i="1"/>
  <c r="GA233" i="1"/>
  <c r="GG233" i="1" s="1"/>
  <c r="FS233" i="1" s="1"/>
  <c r="FO233" i="1" s="1"/>
  <c r="FL233" i="1" s="1"/>
  <c r="FK233" i="1" s="1"/>
  <c r="GD232" i="1"/>
  <c r="GE232" i="1" s="1"/>
  <c r="GB232" i="1"/>
  <c r="GC232" i="1" s="1"/>
  <c r="GF232" i="1"/>
  <c r="FX232" i="1"/>
  <c r="FZ232" i="1"/>
  <c r="DO354" i="1"/>
  <c r="DM354" i="1"/>
  <c r="DP354" i="1"/>
  <c r="DR354" i="1"/>
  <c r="DT354" i="1"/>
  <c r="DZ354" i="1" s="1"/>
  <c r="DJ355" i="1"/>
  <c r="DN355" i="1"/>
  <c r="DO233" i="1"/>
  <c r="DM233" i="1"/>
  <c r="DP233" i="1"/>
  <c r="DR233" i="1"/>
  <c r="DT233" i="1"/>
  <c r="DZ233" i="1" s="1"/>
  <c r="DW353" i="1"/>
  <c r="DX353" i="1" s="1"/>
  <c r="DQ353" i="1"/>
  <c r="DY353" i="1"/>
  <c r="DS353" i="1"/>
  <c r="DL353" i="1"/>
  <c r="DH353" i="1" s="1"/>
  <c r="DE353" i="1" s="1"/>
  <c r="DD353" i="1" s="1"/>
  <c r="DU353" i="1"/>
  <c r="DV353" i="1" s="1"/>
  <c r="DQ232" i="1"/>
  <c r="DY232" i="1"/>
  <c r="DW232" i="1"/>
  <c r="DX232" i="1" s="1"/>
  <c r="DS232" i="1"/>
  <c r="DL232" i="1"/>
  <c r="DH232" i="1" s="1"/>
  <c r="DE232" i="1" s="1"/>
  <c r="DD232" i="1" s="1"/>
  <c r="DU232" i="1"/>
  <c r="DV232" i="1" s="1"/>
  <c r="FX354" i="1"/>
  <c r="GF354" i="1"/>
  <c r="GB354" i="1"/>
  <c r="GC354" i="1" s="1"/>
  <c r="GD354" i="1"/>
  <c r="GE354" i="1" s="1"/>
  <c r="FZ354" i="1"/>
  <c r="FQ356" i="1"/>
  <c r="FU356" i="1"/>
  <c r="DG235" i="1"/>
  <c r="DJ234" i="1"/>
  <c r="DN234" i="1"/>
  <c r="GA355" i="1"/>
  <c r="GG355" i="1" s="1"/>
  <c r="FS355" i="1" s="1"/>
  <c r="FO355" i="1" s="1"/>
  <c r="FL355" i="1" s="1"/>
  <c r="FK355" i="1" s="1"/>
  <c r="FW355" i="1"/>
  <c r="FY355" i="1"/>
  <c r="FT355" i="1"/>
  <c r="FV355" i="1"/>
  <c r="FQ234" i="1"/>
  <c r="FU234" i="1"/>
  <c r="FN235" i="1"/>
  <c r="FA355" i="1"/>
  <c r="ES355" i="1"/>
  <c r="EN355" i="1"/>
  <c r="EJ355" i="1" s="1"/>
  <c r="EG355" i="1" s="1"/>
  <c r="EF355" i="1" s="1"/>
  <c r="EW355" i="1"/>
  <c r="EX355" i="1" s="1"/>
  <c r="EY355" i="1"/>
  <c r="EZ355" i="1" s="1"/>
  <c r="EU355" i="1"/>
  <c r="CJ356" i="1"/>
  <c r="CO356" i="1"/>
  <c r="CU356" i="1" s="1"/>
  <c r="CM356" i="1"/>
  <c r="CH356" i="1"/>
  <c r="CK356" i="1"/>
  <c r="DG356" i="1"/>
  <c r="FN357" i="1"/>
  <c r="CE357" i="1"/>
  <c r="CI357" i="1"/>
  <c r="CB358" i="1"/>
  <c r="EO356" i="1"/>
  <c r="ET356" i="1"/>
  <c r="ER356" i="1"/>
  <c r="EV356" i="1"/>
  <c r="FB356" i="1" s="1"/>
  <c r="EQ356" i="1"/>
  <c r="EP357" i="1"/>
  <c r="EI358" i="1"/>
  <c r="EL357" i="1"/>
  <c r="CN355" i="1"/>
  <c r="CP355" i="1"/>
  <c r="CQ355" i="1" s="1"/>
  <c r="CG355" i="1"/>
  <c r="CC355" i="1" s="1"/>
  <c r="BZ355" i="1" s="1"/>
  <c r="BY355" i="1" s="1"/>
  <c r="CR355" i="1"/>
  <c r="CS355" i="1" s="1"/>
  <c r="CT355" i="1"/>
  <c r="CL355" i="1"/>
  <c r="CR236" i="1"/>
  <c r="CS236" i="1" s="1"/>
  <c r="CN236" i="1"/>
  <c r="CL236" i="1"/>
  <c r="CT236" i="1"/>
  <c r="CG236" i="1"/>
  <c r="CC236" i="1" s="1"/>
  <c r="BZ236" i="1" s="1"/>
  <c r="BY236" i="1" s="1"/>
  <c r="CP236" i="1"/>
  <c r="CQ236" i="1" s="1"/>
  <c r="CI238" i="1"/>
  <c r="CE238" i="1"/>
  <c r="CB239" i="1"/>
  <c r="CH237" i="1"/>
  <c r="CM237" i="1"/>
  <c r="CJ237" i="1"/>
  <c r="CK237" i="1"/>
  <c r="CO237" i="1"/>
  <c r="CU237" i="1" s="1"/>
  <c r="FA235" i="1"/>
  <c r="ES235" i="1"/>
  <c r="EW235" i="1"/>
  <c r="EX235" i="1" s="1"/>
  <c r="EY235" i="1"/>
  <c r="EZ235" i="1" s="1"/>
  <c r="EU235" i="1"/>
  <c r="EN235" i="1"/>
  <c r="EJ235" i="1" s="1"/>
  <c r="EG235" i="1" s="1"/>
  <c r="EF235" i="1" s="1"/>
  <c r="EL237" i="1"/>
  <c r="EP237" i="1"/>
  <c r="EI238" i="1"/>
  <c r="EQ236" i="1"/>
  <c r="EO236" i="1"/>
  <c r="EV236" i="1"/>
  <c r="FB236" i="1" s="1"/>
  <c r="ET236" i="1"/>
  <c r="ER236" i="1"/>
  <c r="EL117" i="1"/>
  <c r="EI118" i="1"/>
  <c r="EP117" i="1"/>
  <c r="CM114" i="1"/>
  <c r="CJ114" i="1"/>
  <c r="CH114" i="1"/>
  <c r="CK114" i="1"/>
  <c r="CO114" i="1"/>
  <c r="CU114" i="1" s="1"/>
  <c r="FN115" i="1"/>
  <c r="FQ114" i="1"/>
  <c r="FU114" i="1"/>
  <c r="CB116" i="1"/>
  <c r="CE115" i="1"/>
  <c r="CI115" i="1"/>
  <c r="FW113" i="1"/>
  <c r="FV113" i="1"/>
  <c r="FY113" i="1"/>
  <c r="FT113" i="1"/>
  <c r="GA113" i="1"/>
  <c r="GG113" i="1" s="1"/>
  <c r="FS113" i="1" s="1"/>
  <c r="FO113" i="1" s="1"/>
  <c r="FL113" i="1" s="1"/>
  <c r="FK113" i="1" s="1"/>
  <c r="DY112" i="1"/>
  <c r="DU112" i="1"/>
  <c r="DV112" i="1" s="1"/>
  <c r="DL112" i="1"/>
  <c r="DH112" i="1" s="1"/>
  <c r="DE112" i="1" s="1"/>
  <c r="DD112" i="1" s="1"/>
  <c r="DW112" i="1"/>
  <c r="DX112" i="1" s="1"/>
  <c r="DQ112" i="1"/>
  <c r="DS112" i="1"/>
  <c r="DM113" i="1"/>
  <c r="DP113" i="1"/>
  <c r="DO113" i="1"/>
  <c r="DR113" i="1"/>
  <c r="DT113" i="1"/>
  <c r="DZ113" i="1" s="1"/>
  <c r="EY115" i="1"/>
  <c r="EZ115" i="1" s="1"/>
  <c r="EU115" i="1"/>
  <c r="EN115" i="1"/>
  <c r="EJ115" i="1" s="1"/>
  <c r="EG115" i="1" s="1"/>
  <c r="EF115" i="1" s="1"/>
  <c r="EW115" i="1"/>
  <c r="EX115" i="1" s="1"/>
  <c r="FA115" i="1"/>
  <c r="ES115" i="1"/>
  <c r="GD112" i="1"/>
  <c r="GE112" i="1" s="1"/>
  <c r="GB112" i="1"/>
  <c r="GC112" i="1" s="1"/>
  <c r="FZ112" i="1"/>
  <c r="GF112" i="1"/>
  <c r="FX112" i="1"/>
  <c r="DJ114" i="1"/>
  <c r="DG115" i="1"/>
  <c r="DN114" i="1"/>
  <c r="CN113" i="1"/>
  <c r="CP113" i="1"/>
  <c r="CQ113" i="1" s="1"/>
  <c r="CG113" i="1"/>
  <c r="CC113" i="1" s="1"/>
  <c r="BZ113" i="1" s="1"/>
  <c r="BY113" i="1" s="1"/>
  <c r="CR113" i="1"/>
  <c r="CS113" i="1" s="1"/>
  <c r="CT113" i="1"/>
  <c r="CL113" i="1"/>
  <c r="EQ116" i="1"/>
  <c r="EO116" i="1"/>
  <c r="EV116" i="1"/>
  <c r="FB116" i="1" s="1"/>
  <c r="ER116" i="1"/>
  <c r="ET116" i="1"/>
  <c r="DJ356" i="1" l="1"/>
  <c r="DN356" i="1"/>
  <c r="GD355" i="1"/>
  <c r="GE355" i="1" s="1"/>
  <c r="GB355" i="1"/>
  <c r="GC355" i="1" s="1"/>
  <c r="FX355" i="1"/>
  <c r="GF355" i="1"/>
  <c r="FZ355" i="1"/>
  <c r="FQ235" i="1"/>
  <c r="FU235" i="1"/>
  <c r="FN236" i="1"/>
  <c r="DP234" i="1"/>
  <c r="DO234" i="1"/>
  <c r="DM234" i="1"/>
  <c r="DR234" i="1"/>
  <c r="DT234" i="1"/>
  <c r="DZ234" i="1" s="1"/>
  <c r="DW354" i="1"/>
  <c r="DX354" i="1" s="1"/>
  <c r="DU354" i="1"/>
  <c r="DV354" i="1" s="1"/>
  <c r="DL354" i="1"/>
  <c r="DH354" i="1" s="1"/>
  <c r="DE354" i="1" s="1"/>
  <c r="DD354" i="1" s="1"/>
  <c r="DY354" i="1"/>
  <c r="DQ354" i="1"/>
  <c r="DS354" i="1"/>
  <c r="FQ357" i="1"/>
  <c r="FU357" i="1"/>
  <c r="FV234" i="1"/>
  <c r="FT234" i="1"/>
  <c r="FW234" i="1"/>
  <c r="FY234" i="1"/>
  <c r="GA234" i="1"/>
  <c r="GG234" i="1" s="1"/>
  <c r="FS234" i="1" s="1"/>
  <c r="FO234" i="1" s="1"/>
  <c r="FL234" i="1" s="1"/>
  <c r="FK234" i="1" s="1"/>
  <c r="DL233" i="1"/>
  <c r="DH233" i="1" s="1"/>
  <c r="DE233" i="1" s="1"/>
  <c r="DD233" i="1" s="1"/>
  <c r="DS233" i="1"/>
  <c r="DW233" i="1"/>
  <c r="DX233" i="1" s="1"/>
  <c r="DU233" i="1"/>
  <c r="DV233" i="1" s="1"/>
  <c r="DQ233" i="1"/>
  <c r="DY233" i="1"/>
  <c r="DN235" i="1"/>
  <c r="DJ235" i="1"/>
  <c r="DG236" i="1"/>
  <c r="GD233" i="1"/>
  <c r="GE233" i="1" s="1"/>
  <c r="GF233" i="1"/>
  <c r="FX233" i="1"/>
  <c r="GB233" i="1"/>
  <c r="GC233" i="1" s="1"/>
  <c r="FZ233" i="1"/>
  <c r="FY356" i="1"/>
  <c r="FT356" i="1"/>
  <c r="FV356" i="1"/>
  <c r="FW356" i="1"/>
  <c r="GA356" i="1"/>
  <c r="GG356" i="1" s="1"/>
  <c r="FS356" i="1" s="1"/>
  <c r="FO356" i="1" s="1"/>
  <c r="FL356" i="1" s="1"/>
  <c r="FK356" i="1" s="1"/>
  <c r="DP355" i="1"/>
  <c r="DO355" i="1"/>
  <c r="DR355" i="1"/>
  <c r="DM355" i="1"/>
  <c r="DT355" i="1"/>
  <c r="DZ355" i="1" s="1"/>
  <c r="DG357" i="1"/>
  <c r="CR356" i="1"/>
  <c r="CS356" i="1" s="1"/>
  <c r="CG356" i="1"/>
  <c r="CC356" i="1" s="1"/>
  <c r="BZ356" i="1" s="1"/>
  <c r="BY356" i="1" s="1"/>
  <c r="CT356" i="1"/>
  <c r="CN356" i="1"/>
  <c r="CP356" i="1"/>
  <c r="CQ356" i="1" s="1"/>
  <c r="CL356" i="1"/>
  <c r="CB359" i="1"/>
  <c r="CI358" i="1"/>
  <c r="CE358" i="1"/>
  <c r="CK357" i="1"/>
  <c r="CJ357" i="1"/>
  <c r="CH357" i="1"/>
  <c r="CM357" i="1"/>
  <c r="CO357" i="1"/>
  <c r="CU357" i="1" s="1"/>
  <c r="EW356" i="1"/>
  <c r="EX356" i="1" s="1"/>
  <c r="EU356" i="1"/>
  <c r="ES356" i="1"/>
  <c r="FA356" i="1"/>
  <c r="EN356" i="1"/>
  <c r="EJ356" i="1" s="1"/>
  <c r="EG356" i="1" s="1"/>
  <c r="EF356" i="1" s="1"/>
  <c r="EY356" i="1"/>
  <c r="EZ356" i="1" s="1"/>
  <c r="EL358" i="1"/>
  <c r="EI359" i="1"/>
  <c r="EP358" i="1"/>
  <c r="FN358" i="1"/>
  <c r="EV357" i="1"/>
  <c r="FB357" i="1" s="1"/>
  <c r="ET357" i="1"/>
  <c r="EO357" i="1"/>
  <c r="ER357" i="1"/>
  <c r="EQ357" i="1"/>
  <c r="EI239" i="1"/>
  <c r="EL238" i="1"/>
  <c r="EP238" i="1"/>
  <c r="ER237" i="1"/>
  <c r="EQ237" i="1"/>
  <c r="EO237" i="1"/>
  <c r="EV237" i="1"/>
  <c r="FB237" i="1" s="1"/>
  <c r="ET237" i="1"/>
  <c r="CE239" i="1"/>
  <c r="CB240" i="1"/>
  <c r="CI239" i="1"/>
  <c r="CJ238" i="1"/>
  <c r="CH238" i="1"/>
  <c r="CM238" i="1"/>
  <c r="CO238" i="1"/>
  <c r="CU238" i="1" s="1"/>
  <c r="CK238" i="1"/>
  <c r="CP237" i="1"/>
  <c r="CQ237" i="1" s="1"/>
  <c r="CN237" i="1"/>
  <c r="CT237" i="1"/>
  <c r="CL237" i="1"/>
  <c r="CR237" i="1"/>
  <c r="CS237" i="1" s="1"/>
  <c r="CG237" i="1"/>
  <c r="CC237" i="1" s="1"/>
  <c r="BZ237" i="1" s="1"/>
  <c r="BY237" i="1" s="1"/>
  <c r="EY236" i="1"/>
  <c r="EZ236" i="1" s="1"/>
  <c r="EW236" i="1"/>
  <c r="EX236" i="1" s="1"/>
  <c r="EN236" i="1"/>
  <c r="EJ236" i="1" s="1"/>
  <c r="EG236" i="1" s="1"/>
  <c r="EF236" i="1" s="1"/>
  <c r="EU236" i="1"/>
  <c r="FA236" i="1"/>
  <c r="ES236" i="1"/>
  <c r="CH115" i="1"/>
  <c r="CK115" i="1"/>
  <c r="CJ115" i="1"/>
  <c r="CM115" i="1"/>
  <c r="CO115" i="1"/>
  <c r="CU115" i="1" s="1"/>
  <c r="CL114" i="1"/>
  <c r="CT114" i="1"/>
  <c r="CN114" i="1"/>
  <c r="CR114" i="1"/>
  <c r="CS114" i="1" s="1"/>
  <c r="CP114" i="1"/>
  <c r="CQ114" i="1" s="1"/>
  <c r="CG114" i="1"/>
  <c r="CC114" i="1" s="1"/>
  <c r="BZ114" i="1" s="1"/>
  <c r="BY114" i="1" s="1"/>
  <c r="DM114" i="1"/>
  <c r="DO114" i="1"/>
  <c r="DR114" i="1"/>
  <c r="DT114" i="1"/>
  <c r="DZ114" i="1" s="1"/>
  <c r="DP114" i="1"/>
  <c r="CB117" i="1"/>
  <c r="CE116" i="1"/>
  <c r="CI116" i="1"/>
  <c r="FT114" i="1"/>
  <c r="FW114" i="1"/>
  <c r="FY114" i="1"/>
  <c r="GA114" i="1"/>
  <c r="GG114" i="1" s="1"/>
  <c r="FS114" i="1" s="1"/>
  <c r="FO114" i="1" s="1"/>
  <c r="FL114" i="1" s="1"/>
  <c r="FK114" i="1" s="1"/>
  <c r="FV114" i="1"/>
  <c r="EO117" i="1"/>
  <c r="EV117" i="1"/>
  <c r="FB117" i="1" s="1"/>
  <c r="ER117" i="1"/>
  <c r="EQ117" i="1"/>
  <c r="ET117" i="1"/>
  <c r="DJ115" i="1"/>
  <c r="DG116" i="1"/>
  <c r="DN115" i="1"/>
  <c r="DU113" i="1"/>
  <c r="DV113" i="1" s="1"/>
  <c r="DW113" i="1"/>
  <c r="DX113" i="1" s="1"/>
  <c r="DY113" i="1"/>
  <c r="DL113" i="1"/>
  <c r="DH113" i="1" s="1"/>
  <c r="DE113" i="1" s="1"/>
  <c r="DD113" i="1" s="1"/>
  <c r="DQ113" i="1"/>
  <c r="DS113" i="1"/>
  <c r="GB113" i="1"/>
  <c r="GC113" i="1" s="1"/>
  <c r="GF113" i="1"/>
  <c r="FX113" i="1"/>
  <c r="FZ113" i="1"/>
  <c r="GD113" i="1"/>
  <c r="GE113" i="1" s="1"/>
  <c r="EI119" i="1"/>
  <c r="EL118" i="1"/>
  <c r="EP118" i="1"/>
  <c r="EU116" i="1"/>
  <c r="ES116" i="1"/>
  <c r="EY116" i="1"/>
  <c r="EZ116" i="1" s="1"/>
  <c r="FA116" i="1"/>
  <c r="EN116" i="1"/>
  <c r="EJ116" i="1" s="1"/>
  <c r="EG116" i="1" s="1"/>
  <c r="EF116" i="1" s="1"/>
  <c r="EW116" i="1"/>
  <c r="EX116" i="1" s="1"/>
  <c r="FN116" i="1"/>
  <c r="FQ115" i="1"/>
  <c r="FU115" i="1"/>
  <c r="FY357" i="1" l="1"/>
  <c r="FW357" i="1"/>
  <c r="FV357" i="1"/>
  <c r="FT357" i="1"/>
  <c r="GA357" i="1"/>
  <c r="GG357" i="1" s="1"/>
  <c r="FS357" i="1" s="1"/>
  <c r="FO357" i="1" s="1"/>
  <c r="FL357" i="1" s="1"/>
  <c r="FK357" i="1" s="1"/>
  <c r="DG237" i="1"/>
  <c r="DJ236" i="1"/>
  <c r="DN236" i="1"/>
  <c r="DY234" i="1"/>
  <c r="DW234" i="1"/>
  <c r="DX234" i="1" s="1"/>
  <c r="DL234" i="1"/>
  <c r="DH234" i="1" s="1"/>
  <c r="DE234" i="1" s="1"/>
  <c r="DD234" i="1" s="1"/>
  <c r="DS234" i="1"/>
  <c r="DU234" i="1"/>
  <c r="DV234" i="1" s="1"/>
  <c r="DQ234" i="1"/>
  <c r="FQ358" i="1"/>
  <c r="FU358" i="1"/>
  <c r="FZ356" i="1"/>
  <c r="FX356" i="1"/>
  <c r="GB356" i="1"/>
  <c r="GC356" i="1" s="1"/>
  <c r="GD356" i="1"/>
  <c r="GE356" i="1" s="1"/>
  <c r="GF356" i="1"/>
  <c r="DW355" i="1"/>
  <c r="DX355" i="1" s="1"/>
  <c r="DU355" i="1"/>
  <c r="DV355" i="1" s="1"/>
  <c r="DL355" i="1"/>
  <c r="DH355" i="1" s="1"/>
  <c r="DE355" i="1" s="1"/>
  <c r="DD355" i="1" s="1"/>
  <c r="DY355" i="1"/>
  <c r="DQ355" i="1"/>
  <c r="DS355" i="1"/>
  <c r="DP235" i="1"/>
  <c r="DR235" i="1"/>
  <c r="DT235" i="1"/>
  <c r="DZ235" i="1" s="1"/>
  <c r="DO235" i="1"/>
  <c r="DM235" i="1"/>
  <c r="DJ357" i="1"/>
  <c r="DN357" i="1"/>
  <c r="FQ236" i="1"/>
  <c r="FU236" i="1"/>
  <c r="FN237" i="1"/>
  <c r="DM356" i="1"/>
  <c r="DR356" i="1"/>
  <c r="DP356" i="1"/>
  <c r="DO356" i="1"/>
  <c r="DT356" i="1"/>
  <c r="DZ356" i="1" s="1"/>
  <c r="GD234" i="1"/>
  <c r="GE234" i="1" s="1"/>
  <c r="GB234" i="1"/>
  <c r="GC234" i="1" s="1"/>
  <c r="GF234" i="1"/>
  <c r="FX234" i="1"/>
  <c r="FZ234" i="1"/>
  <c r="FW235" i="1"/>
  <c r="FY235" i="1"/>
  <c r="FT235" i="1"/>
  <c r="FV235" i="1"/>
  <c r="GA235" i="1"/>
  <c r="GG235" i="1" s="1"/>
  <c r="FS235" i="1" s="1"/>
  <c r="FO235" i="1" s="1"/>
  <c r="FL235" i="1" s="1"/>
  <c r="FK235" i="1" s="1"/>
  <c r="FN359" i="1"/>
  <c r="EO358" i="1"/>
  <c r="ET358" i="1"/>
  <c r="ER358" i="1"/>
  <c r="EV358" i="1"/>
  <c r="FB358" i="1" s="1"/>
  <c r="EQ358" i="1"/>
  <c r="EP359" i="1"/>
  <c r="EI360" i="1"/>
  <c r="EL359" i="1"/>
  <c r="CN357" i="1"/>
  <c r="CP357" i="1"/>
  <c r="CQ357" i="1" s="1"/>
  <c r="CL357" i="1"/>
  <c r="CG357" i="1"/>
  <c r="CC357" i="1" s="1"/>
  <c r="BZ357" i="1" s="1"/>
  <c r="BY357" i="1" s="1"/>
  <c r="CT357" i="1"/>
  <c r="CR357" i="1"/>
  <c r="CS357" i="1" s="1"/>
  <c r="FA357" i="1"/>
  <c r="ES357" i="1"/>
  <c r="EN357" i="1"/>
  <c r="EJ357" i="1" s="1"/>
  <c r="EG357" i="1" s="1"/>
  <c r="EF357" i="1" s="1"/>
  <c r="EY357" i="1"/>
  <c r="EZ357" i="1" s="1"/>
  <c r="EW357" i="1"/>
  <c r="EX357" i="1" s="1"/>
  <c r="EU357" i="1"/>
  <c r="CJ358" i="1"/>
  <c r="CO358" i="1"/>
  <c r="CU358" i="1" s="1"/>
  <c r="CM358" i="1"/>
  <c r="CH358" i="1"/>
  <c r="CK358" i="1"/>
  <c r="DG358" i="1"/>
  <c r="CE359" i="1"/>
  <c r="CI359" i="1"/>
  <c r="CB360" i="1"/>
  <c r="CT238" i="1"/>
  <c r="CL238" i="1"/>
  <c r="CR238" i="1"/>
  <c r="CS238" i="1" s="1"/>
  <c r="CP238" i="1"/>
  <c r="CQ238" i="1" s="1"/>
  <c r="CN238" i="1"/>
  <c r="CG238" i="1"/>
  <c r="CC238" i="1" s="1"/>
  <c r="BZ238" i="1" s="1"/>
  <c r="BY238" i="1" s="1"/>
  <c r="CH239" i="1"/>
  <c r="CM239" i="1"/>
  <c r="CJ239" i="1"/>
  <c r="CK239" i="1"/>
  <c r="CO239" i="1"/>
  <c r="CU239" i="1" s="1"/>
  <c r="CI240" i="1"/>
  <c r="CE240" i="1"/>
  <c r="EQ238" i="1"/>
  <c r="EO238" i="1"/>
  <c r="EV238" i="1"/>
  <c r="FB238" i="1" s="1"/>
  <c r="ER238" i="1"/>
  <c r="ET238" i="1"/>
  <c r="EU237" i="1"/>
  <c r="FA237" i="1"/>
  <c r="ES237" i="1"/>
  <c r="EY237" i="1"/>
  <c r="EZ237" i="1" s="1"/>
  <c r="EW237" i="1"/>
  <c r="EX237" i="1" s="1"/>
  <c r="EN237" i="1"/>
  <c r="EJ237" i="1" s="1"/>
  <c r="EG237" i="1" s="1"/>
  <c r="EF237" i="1" s="1"/>
  <c r="EL239" i="1"/>
  <c r="EP239" i="1"/>
  <c r="EI240" i="1"/>
  <c r="DR115" i="1"/>
  <c r="DM115" i="1"/>
  <c r="DO115" i="1"/>
  <c r="DP115" i="1"/>
  <c r="DT115" i="1"/>
  <c r="DZ115" i="1" s="1"/>
  <c r="EO118" i="1"/>
  <c r="EV118" i="1"/>
  <c r="FB118" i="1" s="1"/>
  <c r="ER118" i="1"/>
  <c r="EQ118" i="1"/>
  <c r="ET118" i="1"/>
  <c r="GF114" i="1"/>
  <c r="GD114" i="1"/>
  <c r="GE114" i="1" s="1"/>
  <c r="FZ114" i="1"/>
  <c r="GB114" i="1"/>
  <c r="GC114" i="1" s="1"/>
  <c r="FX114" i="1"/>
  <c r="DW114" i="1"/>
  <c r="DX114" i="1" s="1"/>
  <c r="DQ114" i="1"/>
  <c r="DY114" i="1"/>
  <c r="DL114" i="1"/>
  <c r="DH114" i="1" s="1"/>
  <c r="DE114" i="1" s="1"/>
  <c r="DD114" i="1" s="1"/>
  <c r="DS114" i="1"/>
  <c r="DU114" i="1"/>
  <c r="DV114" i="1" s="1"/>
  <c r="CJ116" i="1"/>
  <c r="CO116" i="1"/>
  <c r="CU116" i="1" s="1"/>
  <c r="CK116" i="1"/>
  <c r="CM116" i="1"/>
  <c r="CH116" i="1"/>
  <c r="DG117" i="1"/>
  <c r="DJ116" i="1"/>
  <c r="DN116" i="1"/>
  <c r="FN117" i="1"/>
  <c r="FQ116" i="1"/>
  <c r="FU116" i="1"/>
  <c r="EI120" i="1"/>
  <c r="EL119" i="1"/>
  <c r="EP119" i="1"/>
  <c r="FY115" i="1"/>
  <c r="FT115" i="1"/>
  <c r="GA115" i="1"/>
  <c r="GG115" i="1" s="1"/>
  <c r="FS115" i="1" s="1"/>
  <c r="FO115" i="1" s="1"/>
  <c r="FL115" i="1" s="1"/>
  <c r="FK115" i="1" s="1"/>
  <c r="FW115" i="1"/>
  <c r="FV115" i="1"/>
  <c r="EY117" i="1"/>
  <c r="EZ117" i="1" s="1"/>
  <c r="ES117" i="1"/>
  <c r="FA117" i="1"/>
  <c r="EN117" i="1"/>
  <c r="EJ117" i="1" s="1"/>
  <c r="EG117" i="1" s="1"/>
  <c r="EF117" i="1" s="1"/>
  <c r="EW117" i="1"/>
  <c r="EX117" i="1" s="1"/>
  <c r="EU117" i="1"/>
  <c r="CB118" i="1"/>
  <c r="CE117" i="1"/>
  <c r="CI117" i="1"/>
  <c r="CT115" i="1"/>
  <c r="CG115" i="1"/>
  <c r="CC115" i="1" s="1"/>
  <c r="BZ115" i="1" s="1"/>
  <c r="BY115" i="1" s="1"/>
  <c r="CL115" i="1"/>
  <c r="CN115" i="1"/>
  <c r="CR115" i="1"/>
  <c r="CS115" i="1" s="1"/>
  <c r="CP115" i="1"/>
  <c r="CQ115" i="1" s="1"/>
  <c r="FQ359" i="1" l="1"/>
  <c r="FU359" i="1"/>
  <c r="DU235" i="1"/>
  <c r="DV235" i="1" s="1"/>
  <c r="DQ235" i="1"/>
  <c r="DW235" i="1"/>
  <c r="DX235" i="1" s="1"/>
  <c r="DS235" i="1"/>
  <c r="DY235" i="1"/>
  <c r="DL235" i="1"/>
  <c r="DH235" i="1" s="1"/>
  <c r="DE235" i="1" s="1"/>
  <c r="DD235" i="1" s="1"/>
  <c r="GA358" i="1"/>
  <c r="GG358" i="1" s="1"/>
  <c r="FS358" i="1" s="1"/>
  <c r="FO358" i="1" s="1"/>
  <c r="FL358" i="1" s="1"/>
  <c r="FK358" i="1" s="1"/>
  <c r="FT358" i="1"/>
  <c r="FV358" i="1"/>
  <c r="FW358" i="1"/>
  <c r="FY358" i="1"/>
  <c r="DP236" i="1"/>
  <c r="DT236" i="1"/>
  <c r="DZ236" i="1" s="1"/>
  <c r="DR236" i="1"/>
  <c r="DM236" i="1"/>
  <c r="DO236" i="1"/>
  <c r="DL356" i="1"/>
  <c r="DH356" i="1" s="1"/>
  <c r="DE356" i="1" s="1"/>
  <c r="DD356" i="1" s="1"/>
  <c r="DU356" i="1"/>
  <c r="DV356" i="1" s="1"/>
  <c r="DW356" i="1"/>
  <c r="DX356" i="1" s="1"/>
  <c r="DQ356" i="1"/>
  <c r="DY356" i="1"/>
  <c r="DS356" i="1"/>
  <c r="DG238" i="1"/>
  <c r="DN237" i="1"/>
  <c r="DJ237" i="1"/>
  <c r="FQ237" i="1"/>
  <c r="FU237" i="1"/>
  <c r="FN238" i="1"/>
  <c r="FY236" i="1"/>
  <c r="FV236" i="1"/>
  <c r="FW236" i="1"/>
  <c r="FT236" i="1"/>
  <c r="GA236" i="1"/>
  <c r="GG236" i="1" s="1"/>
  <c r="FS236" i="1" s="1"/>
  <c r="FO236" i="1" s="1"/>
  <c r="FL236" i="1" s="1"/>
  <c r="FK236" i="1" s="1"/>
  <c r="GD357" i="1"/>
  <c r="GE357" i="1" s="1"/>
  <c r="FX357" i="1"/>
  <c r="GF357" i="1"/>
  <c r="GB357" i="1"/>
  <c r="GC357" i="1" s="1"/>
  <c r="FZ357" i="1"/>
  <c r="DJ358" i="1"/>
  <c r="DN358" i="1"/>
  <c r="FX235" i="1"/>
  <c r="GB235" i="1"/>
  <c r="GC235" i="1" s="1"/>
  <c r="GD235" i="1"/>
  <c r="GE235" i="1" s="1"/>
  <c r="GF235" i="1"/>
  <c r="FZ235" i="1"/>
  <c r="DM357" i="1"/>
  <c r="DO357" i="1"/>
  <c r="DP357" i="1"/>
  <c r="DR357" i="1"/>
  <c r="DT357" i="1"/>
  <c r="DZ357" i="1" s="1"/>
  <c r="CR358" i="1"/>
  <c r="CS358" i="1" s="1"/>
  <c r="CG358" i="1"/>
  <c r="CC358" i="1" s="1"/>
  <c r="BZ358" i="1" s="1"/>
  <c r="BY358" i="1" s="1"/>
  <c r="CN358" i="1"/>
  <c r="CL358" i="1"/>
  <c r="CT358" i="1"/>
  <c r="CP358" i="1"/>
  <c r="CQ358" i="1" s="1"/>
  <c r="CE360" i="1"/>
  <c r="CI360" i="1"/>
  <c r="CK359" i="1"/>
  <c r="CO359" i="1"/>
  <c r="CU359" i="1" s="1"/>
  <c r="CJ359" i="1"/>
  <c r="CH359" i="1"/>
  <c r="CM359" i="1"/>
  <c r="EW358" i="1"/>
  <c r="EX358" i="1" s="1"/>
  <c r="FA358" i="1"/>
  <c r="EN358" i="1"/>
  <c r="EJ358" i="1" s="1"/>
  <c r="EG358" i="1" s="1"/>
  <c r="EF358" i="1" s="1"/>
  <c r="EY358" i="1"/>
  <c r="EZ358" i="1" s="1"/>
  <c r="EU358" i="1"/>
  <c r="ES358" i="1"/>
  <c r="DG359" i="1"/>
  <c r="EP360" i="1"/>
  <c r="EL360" i="1"/>
  <c r="FN360" i="1"/>
  <c r="EV359" i="1"/>
  <c r="FB359" i="1" s="1"/>
  <c r="ET359" i="1"/>
  <c r="ER359" i="1"/>
  <c r="EQ359" i="1"/>
  <c r="EO359" i="1"/>
  <c r="CP239" i="1"/>
  <c r="CQ239" i="1" s="1"/>
  <c r="CN239" i="1"/>
  <c r="CT239" i="1"/>
  <c r="CL239" i="1"/>
  <c r="CR239" i="1"/>
  <c r="CS239" i="1" s="1"/>
  <c r="CG239" i="1"/>
  <c r="CC239" i="1" s="1"/>
  <c r="BZ239" i="1" s="1"/>
  <c r="BY239" i="1" s="1"/>
  <c r="EL240" i="1"/>
  <c r="EP240" i="1"/>
  <c r="EY238" i="1"/>
  <c r="EZ238" i="1" s="1"/>
  <c r="EW238" i="1"/>
  <c r="EX238" i="1" s="1"/>
  <c r="EN238" i="1"/>
  <c r="EJ238" i="1" s="1"/>
  <c r="EG238" i="1" s="1"/>
  <c r="EF238" i="1" s="1"/>
  <c r="EU238" i="1"/>
  <c r="FA238" i="1"/>
  <c r="ES238" i="1"/>
  <c r="CJ240" i="1"/>
  <c r="CH240" i="1"/>
  <c r="CO240" i="1"/>
  <c r="CU240" i="1" s="1"/>
  <c r="CM240" i="1"/>
  <c r="CK240" i="1"/>
  <c r="ER239" i="1"/>
  <c r="EQ239" i="1"/>
  <c r="EO239" i="1"/>
  <c r="EV239" i="1"/>
  <c r="FB239" i="1" s="1"/>
  <c r="ET239" i="1"/>
  <c r="FW116" i="1"/>
  <c r="FY116" i="1"/>
  <c r="FV116" i="1"/>
  <c r="GA116" i="1"/>
  <c r="GG116" i="1" s="1"/>
  <c r="FS116" i="1" s="1"/>
  <c r="FO116" i="1" s="1"/>
  <c r="FL116" i="1" s="1"/>
  <c r="FK116" i="1" s="1"/>
  <c r="FT116" i="1"/>
  <c r="FN118" i="1"/>
  <c r="FQ117" i="1"/>
  <c r="FU117" i="1"/>
  <c r="EN118" i="1"/>
  <c r="EJ118" i="1" s="1"/>
  <c r="EG118" i="1" s="1"/>
  <c r="EF118" i="1" s="1"/>
  <c r="EW118" i="1"/>
  <c r="EX118" i="1" s="1"/>
  <c r="ES118" i="1"/>
  <c r="EY118" i="1"/>
  <c r="EZ118" i="1" s="1"/>
  <c r="EU118" i="1"/>
  <c r="FA118" i="1"/>
  <c r="DM116" i="1"/>
  <c r="DP116" i="1"/>
  <c r="DR116" i="1"/>
  <c r="DO116" i="1"/>
  <c r="DT116" i="1"/>
  <c r="DZ116" i="1" s="1"/>
  <c r="GD115" i="1"/>
  <c r="GE115" i="1" s="1"/>
  <c r="GF115" i="1"/>
  <c r="FZ115" i="1"/>
  <c r="FX115" i="1"/>
  <c r="GB115" i="1"/>
  <c r="GC115" i="1" s="1"/>
  <c r="EV119" i="1"/>
  <c r="FB119" i="1" s="1"/>
  <c r="ER119" i="1"/>
  <c r="EQ119" i="1"/>
  <c r="ET119" i="1"/>
  <c r="EO119" i="1"/>
  <c r="CB119" i="1"/>
  <c r="CE118" i="1"/>
  <c r="CI118" i="1"/>
  <c r="CP116" i="1"/>
  <c r="CQ116" i="1" s="1"/>
  <c r="CL116" i="1"/>
  <c r="CR116" i="1"/>
  <c r="CS116" i="1" s="1"/>
  <c r="CG116" i="1"/>
  <c r="CC116" i="1" s="1"/>
  <c r="BZ116" i="1" s="1"/>
  <c r="BY116" i="1" s="1"/>
  <c r="CT116" i="1"/>
  <c r="CN116" i="1"/>
  <c r="DU115" i="1"/>
  <c r="DV115" i="1" s="1"/>
  <c r="DW115" i="1"/>
  <c r="DX115" i="1" s="1"/>
  <c r="DQ115" i="1"/>
  <c r="DS115" i="1"/>
  <c r="DY115" i="1"/>
  <c r="DL115" i="1"/>
  <c r="DH115" i="1" s="1"/>
  <c r="DE115" i="1" s="1"/>
  <c r="DD115" i="1" s="1"/>
  <c r="DG118" i="1"/>
  <c r="DJ117" i="1"/>
  <c r="DN117" i="1"/>
  <c r="CM117" i="1"/>
  <c r="CO117" i="1"/>
  <c r="CU117" i="1" s="1"/>
  <c r="CH117" i="1"/>
  <c r="CJ117" i="1"/>
  <c r="CK117" i="1"/>
  <c r="EL120" i="1"/>
  <c r="EI121" i="1"/>
  <c r="EP120" i="1"/>
  <c r="DJ359" i="1" l="1"/>
  <c r="DN359" i="1"/>
  <c r="DL357" i="1"/>
  <c r="DH357" i="1" s="1"/>
  <c r="DE357" i="1" s="1"/>
  <c r="DD357" i="1" s="1"/>
  <c r="DU357" i="1"/>
  <c r="DV357" i="1" s="1"/>
  <c r="DQ357" i="1"/>
  <c r="DY357" i="1"/>
  <c r="DW357" i="1"/>
  <c r="DX357" i="1" s="1"/>
  <c r="DS357" i="1"/>
  <c r="FQ238" i="1"/>
  <c r="FU238" i="1"/>
  <c r="FN239" i="1"/>
  <c r="FW237" i="1"/>
  <c r="FV237" i="1"/>
  <c r="FY237" i="1"/>
  <c r="FT237" i="1"/>
  <c r="GA237" i="1"/>
  <c r="GG237" i="1" s="1"/>
  <c r="FS237" i="1" s="1"/>
  <c r="FO237" i="1" s="1"/>
  <c r="FL237" i="1" s="1"/>
  <c r="FK237" i="1" s="1"/>
  <c r="FQ360" i="1"/>
  <c r="FU360" i="1"/>
  <c r="DM358" i="1"/>
  <c r="DP358" i="1"/>
  <c r="DR358" i="1"/>
  <c r="DO358" i="1"/>
  <c r="DT358" i="1"/>
  <c r="DZ358" i="1" s="1"/>
  <c r="FX236" i="1"/>
  <c r="GF236" i="1"/>
  <c r="FZ236" i="1"/>
  <c r="GD236" i="1"/>
  <c r="GE236" i="1" s="1"/>
  <c r="GB236" i="1"/>
  <c r="GC236" i="1" s="1"/>
  <c r="DM237" i="1"/>
  <c r="DT237" i="1"/>
  <c r="DZ237" i="1" s="1"/>
  <c r="DR237" i="1"/>
  <c r="DO237" i="1"/>
  <c r="DP237" i="1"/>
  <c r="FX358" i="1"/>
  <c r="GB358" i="1"/>
  <c r="GC358" i="1" s="1"/>
  <c r="GD358" i="1"/>
  <c r="GE358" i="1" s="1"/>
  <c r="GF358" i="1"/>
  <c r="FZ358" i="1"/>
  <c r="FW359" i="1"/>
  <c r="FV359" i="1"/>
  <c r="FT359" i="1"/>
  <c r="FY359" i="1"/>
  <c r="GA359" i="1"/>
  <c r="GG359" i="1" s="1"/>
  <c r="FS359" i="1" s="1"/>
  <c r="FO359" i="1" s="1"/>
  <c r="FL359" i="1" s="1"/>
  <c r="FK359" i="1" s="1"/>
  <c r="DG239" i="1"/>
  <c r="DJ238" i="1"/>
  <c r="DN238" i="1"/>
  <c r="DU236" i="1"/>
  <c r="DV236" i="1" s="1"/>
  <c r="DS236" i="1"/>
  <c r="DQ236" i="1"/>
  <c r="DL236" i="1"/>
  <c r="DH236" i="1" s="1"/>
  <c r="DE236" i="1" s="1"/>
  <c r="DD236" i="1" s="1"/>
  <c r="DY236" i="1"/>
  <c r="DW236" i="1"/>
  <c r="DX236" i="1" s="1"/>
  <c r="EO360" i="1"/>
  <c r="ET360" i="1"/>
  <c r="ER360" i="1"/>
  <c r="EQ360" i="1"/>
  <c r="EV360" i="1"/>
  <c r="FB360" i="1" s="1"/>
  <c r="CN359" i="1"/>
  <c r="CP359" i="1"/>
  <c r="CQ359" i="1" s="1"/>
  <c r="CL359" i="1"/>
  <c r="CT359" i="1"/>
  <c r="CG359" i="1"/>
  <c r="CC359" i="1" s="1"/>
  <c r="BZ359" i="1" s="1"/>
  <c r="BY359" i="1" s="1"/>
  <c r="CR359" i="1"/>
  <c r="CS359" i="1" s="1"/>
  <c r="FA359" i="1"/>
  <c r="ES359" i="1"/>
  <c r="EN359" i="1"/>
  <c r="EJ359" i="1" s="1"/>
  <c r="EG359" i="1" s="1"/>
  <c r="EF359" i="1" s="1"/>
  <c r="EU359" i="1"/>
  <c r="EY359" i="1"/>
  <c r="EZ359" i="1" s="1"/>
  <c r="EW359" i="1"/>
  <c r="EX359" i="1" s="1"/>
  <c r="DG360" i="1"/>
  <c r="CJ360" i="1"/>
  <c r="CO360" i="1"/>
  <c r="CU360" i="1" s="1"/>
  <c r="CM360" i="1"/>
  <c r="CH360" i="1"/>
  <c r="CK360" i="1"/>
  <c r="CT240" i="1"/>
  <c r="CL240" i="1"/>
  <c r="CR240" i="1"/>
  <c r="CS240" i="1" s="1"/>
  <c r="CP240" i="1"/>
  <c r="CQ240" i="1" s="1"/>
  <c r="CN240" i="1"/>
  <c r="CG240" i="1"/>
  <c r="CC240" i="1" s="1"/>
  <c r="BZ240" i="1" s="1"/>
  <c r="BY240" i="1" s="1"/>
  <c r="BU155" i="1" s="1"/>
  <c r="EQ240" i="1"/>
  <c r="EO240" i="1"/>
  <c r="EV240" i="1"/>
  <c r="FB240" i="1" s="1"/>
  <c r="ET240" i="1"/>
  <c r="ER240" i="1"/>
  <c r="EU239" i="1"/>
  <c r="FA239" i="1"/>
  <c r="ES239" i="1"/>
  <c r="EY239" i="1"/>
  <c r="EZ239" i="1" s="1"/>
  <c r="EW239" i="1"/>
  <c r="EX239" i="1" s="1"/>
  <c r="EN239" i="1"/>
  <c r="EJ239" i="1" s="1"/>
  <c r="EG239" i="1" s="1"/>
  <c r="EF239" i="1" s="1"/>
  <c r="CM118" i="1"/>
  <c r="CK118" i="1"/>
  <c r="CO118" i="1"/>
  <c r="CU118" i="1" s="1"/>
  <c r="CH118" i="1"/>
  <c r="CJ118" i="1"/>
  <c r="FT117" i="1"/>
  <c r="FW117" i="1"/>
  <c r="GA117" i="1"/>
  <c r="GG117" i="1" s="1"/>
  <c r="FS117" i="1" s="1"/>
  <c r="FO117" i="1" s="1"/>
  <c r="FL117" i="1" s="1"/>
  <c r="FK117" i="1" s="1"/>
  <c r="FY117" i="1"/>
  <c r="FV117" i="1"/>
  <c r="DP117" i="1"/>
  <c r="DR117" i="1"/>
  <c r="DM117" i="1"/>
  <c r="DT117" i="1"/>
  <c r="DZ117" i="1" s="1"/>
  <c r="DO117" i="1"/>
  <c r="DQ116" i="1"/>
  <c r="DS116" i="1"/>
  <c r="DY116" i="1"/>
  <c r="DL116" i="1"/>
  <c r="DH116" i="1" s="1"/>
  <c r="DE116" i="1" s="1"/>
  <c r="DD116" i="1" s="1"/>
  <c r="DU116" i="1"/>
  <c r="DV116" i="1" s="1"/>
  <c r="DW116" i="1"/>
  <c r="DX116" i="1" s="1"/>
  <c r="EL121" i="1"/>
  <c r="EP121" i="1"/>
  <c r="CB120" i="1"/>
  <c r="CE119" i="1"/>
  <c r="CI119" i="1"/>
  <c r="FN119" i="1"/>
  <c r="FQ118" i="1"/>
  <c r="FU118" i="1"/>
  <c r="EQ120" i="1"/>
  <c r="ER120" i="1"/>
  <c r="ET120" i="1"/>
  <c r="EO120" i="1"/>
  <c r="EV120" i="1"/>
  <c r="FB120" i="1" s="1"/>
  <c r="DJ118" i="1"/>
  <c r="DG119" i="1"/>
  <c r="DN118" i="1"/>
  <c r="EN119" i="1"/>
  <c r="EJ119" i="1" s="1"/>
  <c r="EG119" i="1" s="1"/>
  <c r="EF119" i="1" s="1"/>
  <c r="EW119" i="1"/>
  <c r="EX119" i="1" s="1"/>
  <c r="EU119" i="1"/>
  <c r="FA119" i="1"/>
  <c r="EY119" i="1"/>
  <c r="EZ119" i="1" s="1"/>
  <c r="ES119" i="1"/>
  <c r="GF116" i="1"/>
  <c r="FZ116" i="1"/>
  <c r="GB116" i="1"/>
  <c r="GC116" i="1" s="1"/>
  <c r="FX116" i="1"/>
  <c r="GD116" i="1"/>
  <c r="GE116" i="1" s="1"/>
  <c r="CL117" i="1"/>
  <c r="CN117" i="1"/>
  <c r="CP117" i="1"/>
  <c r="CQ117" i="1" s="1"/>
  <c r="CG117" i="1"/>
  <c r="CC117" i="1" s="1"/>
  <c r="BZ117" i="1" s="1"/>
  <c r="BY117" i="1" s="1"/>
  <c r="CR117" i="1"/>
  <c r="CS117" i="1" s="1"/>
  <c r="CT117" i="1"/>
  <c r="BU147" i="1" l="1"/>
  <c r="BU146" i="1"/>
  <c r="BU149" i="1"/>
  <c r="BU144" i="1"/>
  <c r="BU148" i="1"/>
  <c r="BU156" i="1"/>
  <c r="BU154" i="1"/>
  <c r="BU150" i="1"/>
  <c r="BU143" i="1"/>
  <c r="BU141" i="1" s="1"/>
  <c r="BU145" i="1"/>
  <c r="BU153" i="1"/>
  <c r="FX237" i="1"/>
  <c r="GF237" i="1"/>
  <c r="FZ237" i="1"/>
  <c r="GB237" i="1"/>
  <c r="GC237" i="1" s="1"/>
  <c r="GD237" i="1"/>
  <c r="GE237" i="1" s="1"/>
  <c r="DJ360" i="1"/>
  <c r="DN360" i="1"/>
  <c r="DM238" i="1"/>
  <c r="DO238" i="1"/>
  <c r="DP238" i="1"/>
  <c r="DT238" i="1"/>
  <c r="DZ238" i="1" s="1"/>
  <c r="DR238" i="1"/>
  <c r="DQ237" i="1"/>
  <c r="DY237" i="1"/>
  <c r="DU237" i="1"/>
  <c r="DV237" i="1" s="1"/>
  <c r="DL237" i="1"/>
  <c r="DH237" i="1" s="1"/>
  <c r="DE237" i="1" s="1"/>
  <c r="DD237" i="1" s="1"/>
  <c r="DS237" i="1"/>
  <c r="DW237" i="1"/>
  <c r="DX237" i="1" s="1"/>
  <c r="DG240" i="1"/>
  <c r="DJ239" i="1"/>
  <c r="DN239" i="1"/>
  <c r="DL358" i="1"/>
  <c r="DH358" i="1" s="1"/>
  <c r="DE358" i="1" s="1"/>
  <c r="DD358" i="1" s="1"/>
  <c r="DU358" i="1"/>
  <c r="DV358" i="1" s="1"/>
  <c r="DQ358" i="1"/>
  <c r="DW358" i="1"/>
  <c r="DX358" i="1" s="1"/>
  <c r="DY358" i="1"/>
  <c r="DS358" i="1"/>
  <c r="FQ239" i="1"/>
  <c r="FU239" i="1"/>
  <c r="FN240" i="1"/>
  <c r="FV360" i="1"/>
  <c r="FW360" i="1"/>
  <c r="FT360" i="1"/>
  <c r="FY360" i="1"/>
  <c r="GA360" i="1"/>
  <c r="GG360" i="1" s="1"/>
  <c r="FS360" i="1" s="1"/>
  <c r="FV238" i="1"/>
  <c r="FW238" i="1"/>
  <c r="FY238" i="1"/>
  <c r="FT238" i="1"/>
  <c r="GA238" i="1"/>
  <c r="GG238" i="1" s="1"/>
  <c r="FS238" i="1" s="1"/>
  <c r="FO238" i="1" s="1"/>
  <c r="FL238" i="1" s="1"/>
  <c r="FK238" i="1" s="1"/>
  <c r="DR359" i="1"/>
  <c r="DP359" i="1"/>
  <c r="DO359" i="1"/>
  <c r="DM359" i="1"/>
  <c r="DT359" i="1"/>
  <c r="DZ359" i="1" s="1"/>
  <c r="GF359" i="1"/>
  <c r="FZ359" i="1"/>
  <c r="GB359" i="1"/>
  <c r="GC359" i="1" s="1"/>
  <c r="GD359" i="1"/>
  <c r="GE359" i="1" s="1"/>
  <c r="FX359" i="1"/>
  <c r="EW360" i="1"/>
  <c r="EX360" i="1" s="1"/>
  <c r="EU360" i="1"/>
  <c r="ES360" i="1"/>
  <c r="FA360" i="1"/>
  <c r="EN360" i="1"/>
  <c r="EJ360" i="1" s="1"/>
  <c r="EG360" i="1" s="1"/>
  <c r="EF360" i="1" s="1"/>
  <c r="EB269" i="1" s="1"/>
  <c r="EY360" i="1"/>
  <c r="EZ360" i="1" s="1"/>
  <c r="CR360" i="1"/>
  <c r="CS360" i="1" s="1"/>
  <c r="CG360" i="1"/>
  <c r="CC360" i="1" s="1"/>
  <c r="BZ360" i="1" s="1"/>
  <c r="BY360" i="1" s="1"/>
  <c r="BU270" i="1" s="1"/>
  <c r="CT360" i="1"/>
  <c r="CN360" i="1"/>
  <c r="CP360" i="1"/>
  <c r="CQ360" i="1" s="1"/>
  <c r="CL360" i="1"/>
  <c r="EY240" i="1"/>
  <c r="EZ240" i="1" s="1"/>
  <c r="EW240" i="1"/>
  <c r="EX240" i="1" s="1"/>
  <c r="EN240" i="1"/>
  <c r="EJ240" i="1" s="1"/>
  <c r="EG240" i="1" s="1"/>
  <c r="EF240" i="1" s="1"/>
  <c r="EB144" i="1" s="1"/>
  <c r="EU240" i="1"/>
  <c r="FA240" i="1"/>
  <c r="ES240" i="1"/>
  <c r="CB121" i="1"/>
  <c r="CE120" i="1"/>
  <c r="CI120" i="1"/>
  <c r="EO121" i="1"/>
  <c r="EV121" i="1"/>
  <c r="FB121" i="1" s="1"/>
  <c r="ER121" i="1"/>
  <c r="EQ121" i="1"/>
  <c r="ET121" i="1"/>
  <c r="FX117" i="1"/>
  <c r="GB117" i="1"/>
  <c r="GC117" i="1" s="1"/>
  <c r="GD117" i="1"/>
  <c r="GE117" i="1" s="1"/>
  <c r="GF117" i="1"/>
  <c r="FZ117" i="1"/>
  <c r="DO118" i="1"/>
  <c r="DP118" i="1"/>
  <c r="DR118" i="1"/>
  <c r="DM118" i="1"/>
  <c r="DT118" i="1"/>
  <c r="DZ118" i="1" s="1"/>
  <c r="GA118" i="1"/>
  <c r="GG118" i="1" s="1"/>
  <c r="FS118" i="1" s="1"/>
  <c r="FO118" i="1" s="1"/>
  <c r="FL118" i="1" s="1"/>
  <c r="FK118" i="1" s="1"/>
  <c r="FT118" i="1"/>
  <c r="FW118" i="1"/>
  <c r="FV118" i="1"/>
  <c r="FY118" i="1"/>
  <c r="DL117" i="1"/>
  <c r="DH117" i="1" s="1"/>
  <c r="DE117" i="1" s="1"/>
  <c r="DD117" i="1" s="1"/>
  <c r="DQ117" i="1"/>
  <c r="DY117" i="1"/>
  <c r="DS117" i="1"/>
  <c r="DU117" i="1"/>
  <c r="DV117" i="1" s="1"/>
  <c r="DW117" i="1"/>
  <c r="DX117" i="1" s="1"/>
  <c r="DJ119" i="1"/>
  <c r="DG120" i="1"/>
  <c r="DN119" i="1"/>
  <c r="CN118" i="1"/>
  <c r="CR118" i="1"/>
  <c r="CS118" i="1" s="1"/>
  <c r="CG118" i="1"/>
  <c r="CC118" i="1" s="1"/>
  <c r="BZ118" i="1" s="1"/>
  <c r="BY118" i="1" s="1"/>
  <c r="CP118" i="1"/>
  <c r="CQ118" i="1" s="1"/>
  <c r="CL118" i="1"/>
  <c r="CT118" i="1"/>
  <c r="FN120" i="1"/>
  <c r="FQ119" i="1"/>
  <c r="FU119" i="1"/>
  <c r="CM119" i="1"/>
  <c r="CO119" i="1"/>
  <c r="CU119" i="1" s="1"/>
  <c r="CH119" i="1"/>
  <c r="CJ119" i="1"/>
  <c r="CK119" i="1"/>
  <c r="EY120" i="1"/>
  <c r="EZ120" i="1" s="1"/>
  <c r="FA120" i="1"/>
  <c r="EN120" i="1"/>
  <c r="EJ120" i="1" s="1"/>
  <c r="EG120" i="1" s="1"/>
  <c r="EF120" i="1" s="1"/>
  <c r="EW120" i="1"/>
  <c r="EX120" i="1" s="1"/>
  <c r="EU120" i="1"/>
  <c r="ES120" i="1"/>
  <c r="BU263" i="1" l="1"/>
  <c r="BU261" i="1" s="1"/>
  <c r="EB263" i="1"/>
  <c r="EB261" i="1" s="1"/>
  <c r="EB275" i="1"/>
  <c r="BU268" i="1"/>
  <c r="EB270" i="1"/>
  <c r="EB274" i="1"/>
  <c r="EB143" i="1"/>
  <c r="EB141" i="1" s="1"/>
  <c r="BU276" i="1"/>
  <c r="BU266" i="1"/>
  <c r="EB267" i="1"/>
  <c r="EB148" i="1"/>
  <c r="EB145" i="1"/>
  <c r="EB155" i="1"/>
  <c r="BU274" i="1"/>
  <c r="BU269" i="1"/>
  <c r="EB276" i="1"/>
  <c r="EB153" i="1"/>
  <c r="EB154" i="1"/>
  <c r="BU275" i="1"/>
  <c r="BU267" i="1"/>
  <c r="EB273" i="1"/>
  <c r="EB150" i="1"/>
  <c r="EB156" i="1"/>
  <c r="BU265" i="1"/>
  <c r="BU273" i="1"/>
  <c r="EB268" i="1"/>
  <c r="EB146" i="1"/>
  <c r="EB147" i="1"/>
  <c r="BU264" i="1"/>
  <c r="EB265" i="1"/>
  <c r="EB264" i="1"/>
  <c r="EB149" i="1"/>
  <c r="EB266" i="1"/>
  <c r="GD238" i="1"/>
  <c r="GE238" i="1" s="1"/>
  <c r="FX238" i="1"/>
  <c r="GB238" i="1"/>
  <c r="GC238" i="1" s="1"/>
  <c r="GF238" i="1"/>
  <c r="FZ238" i="1"/>
  <c r="DR360" i="1"/>
  <c r="DM360" i="1"/>
  <c r="DO360" i="1"/>
  <c r="DP360" i="1"/>
  <c r="DT360" i="1"/>
  <c r="DZ360" i="1" s="1"/>
  <c r="FQ240" i="1"/>
  <c r="FU240" i="1"/>
  <c r="DU238" i="1"/>
  <c r="DV238" i="1" s="1"/>
  <c r="DQ238" i="1"/>
  <c r="DW238" i="1"/>
  <c r="DX238" i="1" s="1"/>
  <c r="DY238" i="1"/>
  <c r="DS238" i="1"/>
  <c r="DL238" i="1"/>
  <c r="DH238" i="1" s="1"/>
  <c r="DE238" i="1" s="1"/>
  <c r="DD238" i="1" s="1"/>
  <c r="FV239" i="1"/>
  <c r="FY239" i="1"/>
  <c r="FW239" i="1"/>
  <c r="FT239" i="1"/>
  <c r="GA239" i="1"/>
  <c r="GG239" i="1" s="1"/>
  <c r="FS239" i="1" s="1"/>
  <c r="FO239" i="1" s="1"/>
  <c r="FL239" i="1" s="1"/>
  <c r="FK239" i="1" s="1"/>
  <c r="DR239" i="1"/>
  <c r="DT239" i="1"/>
  <c r="DZ239" i="1" s="1"/>
  <c r="DM239" i="1"/>
  <c r="DO239" i="1"/>
  <c r="DP239" i="1"/>
  <c r="DQ359" i="1"/>
  <c r="DY359" i="1"/>
  <c r="DS359" i="1"/>
  <c r="DL359" i="1"/>
  <c r="DH359" i="1" s="1"/>
  <c r="DE359" i="1" s="1"/>
  <c r="DD359" i="1" s="1"/>
  <c r="DU359" i="1"/>
  <c r="DV359" i="1" s="1"/>
  <c r="DW359" i="1"/>
  <c r="DX359" i="1" s="1"/>
  <c r="DJ240" i="1"/>
  <c r="DN240" i="1"/>
  <c r="GD360" i="1"/>
  <c r="GE360" i="1" s="1"/>
  <c r="GB360" i="1"/>
  <c r="GC360" i="1" s="1"/>
  <c r="FX360" i="1"/>
  <c r="GF360" i="1"/>
  <c r="FZ360" i="1"/>
  <c r="FO360" i="1"/>
  <c r="FL360" i="1" s="1"/>
  <c r="FK360" i="1" s="1"/>
  <c r="FG266" i="1"/>
  <c r="T63" i="1" s="1"/>
  <c r="FG268" i="1"/>
  <c r="Z60" i="1" s="1"/>
  <c r="FG275" i="1"/>
  <c r="Z67" i="1" s="1"/>
  <c r="FG276" i="1"/>
  <c r="Z68" i="1" s="1"/>
  <c r="FG263" i="1"/>
  <c r="FG261" i="1" s="1"/>
  <c r="FG264" i="1"/>
  <c r="T58" i="1" s="1"/>
  <c r="FG265" i="1"/>
  <c r="T59" i="1" s="1"/>
  <c r="FG270" i="1"/>
  <c r="Z62" i="1" s="1"/>
  <c r="FG267" i="1"/>
  <c r="T64" i="1" s="1"/>
  <c r="FG273" i="1"/>
  <c r="Z65" i="1" s="1"/>
  <c r="FG269" i="1"/>
  <c r="Z61" i="1" s="1"/>
  <c r="FG274" i="1"/>
  <c r="Z66" i="1" s="1"/>
  <c r="FN121" i="1"/>
  <c r="FQ120" i="1"/>
  <c r="FU120" i="1"/>
  <c r="DJ120" i="1"/>
  <c r="DG121" i="1"/>
  <c r="DN120" i="1"/>
  <c r="DM119" i="1"/>
  <c r="DP119" i="1"/>
  <c r="DO119" i="1"/>
  <c r="DT119" i="1"/>
  <c r="DZ119" i="1" s="1"/>
  <c r="DR119" i="1"/>
  <c r="CT119" i="1"/>
  <c r="CR119" i="1"/>
  <c r="CS119" i="1" s="1"/>
  <c r="CG119" i="1"/>
  <c r="CC119" i="1" s="1"/>
  <c r="BZ119" i="1" s="1"/>
  <c r="BY119" i="1" s="1"/>
  <c r="CP119" i="1"/>
  <c r="CQ119" i="1" s="1"/>
  <c r="CN119" i="1"/>
  <c r="CL119" i="1"/>
  <c r="GB118" i="1"/>
  <c r="GC118" i="1" s="1"/>
  <c r="FZ118" i="1"/>
  <c r="FX118" i="1"/>
  <c r="GF118" i="1"/>
  <c r="GD118" i="1"/>
  <c r="GE118" i="1" s="1"/>
  <c r="EW121" i="1"/>
  <c r="EX121" i="1" s="1"/>
  <c r="EU121" i="1"/>
  <c r="EY121" i="1"/>
  <c r="EZ121" i="1" s="1"/>
  <c r="FA121" i="1"/>
  <c r="EN121" i="1"/>
  <c r="EJ121" i="1" s="1"/>
  <c r="EG121" i="1" s="1"/>
  <c r="EF121" i="1" s="1"/>
  <c r="EB35" i="1" s="1"/>
  <c r="ES121" i="1"/>
  <c r="CO120" i="1"/>
  <c r="CU120" i="1" s="1"/>
  <c r="CH120" i="1"/>
  <c r="CJ120" i="1"/>
  <c r="CM120" i="1"/>
  <c r="CK120" i="1"/>
  <c r="FW119" i="1"/>
  <c r="FY119" i="1"/>
  <c r="FT119" i="1"/>
  <c r="GA119" i="1"/>
  <c r="GG119" i="1" s="1"/>
  <c r="FS119" i="1" s="1"/>
  <c r="FO119" i="1" s="1"/>
  <c r="FL119" i="1" s="1"/>
  <c r="FK119" i="1" s="1"/>
  <c r="FV119" i="1"/>
  <c r="DQ118" i="1"/>
  <c r="DL118" i="1"/>
  <c r="DH118" i="1" s="1"/>
  <c r="DE118" i="1" s="1"/>
  <c r="DD118" i="1" s="1"/>
  <c r="DW118" i="1"/>
  <c r="DX118" i="1" s="1"/>
  <c r="DU118" i="1"/>
  <c r="DV118" i="1" s="1"/>
  <c r="DY118" i="1"/>
  <c r="DS118" i="1"/>
  <c r="CE121" i="1"/>
  <c r="CI121" i="1"/>
  <c r="DQ360" i="1" l="1"/>
  <c r="DU360" i="1"/>
  <c r="DV360" i="1" s="1"/>
  <c r="DW360" i="1"/>
  <c r="DX360" i="1" s="1"/>
  <c r="DY360" i="1"/>
  <c r="DL360" i="1"/>
  <c r="DH360" i="1" s="1"/>
  <c r="DE360" i="1" s="1"/>
  <c r="DD360" i="1" s="1"/>
  <c r="CZ264" i="1" s="1"/>
  <c r="S58" i="1" s="1"/>
  <c r="DS360" i="1"/>
  <c r="FZ239" i="1"/>
  <c r="GB239" i="1"/>
  <c r="GC239" i="1" s="1"/>
  <c r="GD239" i="1"/>
  <c r="GE239" i="1" s="1"/>
  <c r="FX239" i="1"/>
  <c r="GF239" i="1"/>
  <c r="DM240" i="1"/>
  <c r="DP240" i="1"/>
  <c r="DO240" i="1"/>
  <c r="DR240" i="1"/>
  <c r="DT240" i="1"/>
  <c r="DZ240" i="1" s="1"/>
  <c r="FV240" i="1"/>
  <c r="FT240" i="1"/>
  <c r="FY240" i="1"/>
  <c r="FW240" i="1"/>
  <c r="GA240" i="1"/>
  <c r="GG240" i="1" s="1"/>
  <c r="FS240" i="1" s="1"/>
  <c r="FO240" i="1" s="1"/>
  <c r="FL240" i="1" s="1"/>
  <c r="FK240" i="1" s="1"/>
  <c r="DQ239" i="1"/>
  <c r="DY239" i="1"/>
  <c r="DS239" i="1"/>
  <c r="DL239" i="1"/>
  <c r="DH239" i="1" s="1"/>
  <c r="DE239" i="1" s="1"/>
  <c r="DD239" i="1" s="1"/>
  <c r="DU239" i="1"/>
  <c r="DV239" i="1" s="1"/>
  <c r="DW239" i="1"/>
  <c r="DX239" i="1" s="1"/>
  <c r="CZ275" i="1"/>
  <c r="X67" i="1" s="1"/>
  <c r="CZ267" i="1"/>
  <c r="S64" i="1" s="1"/>
  <c r="CZ273" i="1"/>
  <c r="X65" i="1" s="1"/>
  <c r="GB119" i="1"/>
  <c r="GC119" i="1" s="1"/>
  <c r="GF119" i="1"/>
  <c r="GD119" i="1"/>
  <c r="GE119" i="1" s="1"/>
  <c r="FX119" i="1"/>
  <c r="FZ119" i="1"/>
  <c r="EB25" i="1"/>
  <c r="EB26" i="1"/>
  <c r="EB27" i="1"/>
  <c r="DW119" i="1"/>
  <c r="DX119" i="1" s="1"/>
  <c r="DS119" i="1"/>
  <c r="DQ119" i="1"/>
  <c r="DY119" i="1"/>
  <c r="DL119" i="1"/>
  <c r="DH119" i="1" s="1"/>
  <c r="DE119" i="1" s="1"/>
  <c r="DD119" i="1" s="1"/>
  <c r="DU119" i="1"/>
  <c r="DV119" i="1" s="1"/>
  <c r="EB30" i="1"/>
  <c r="EB29" i="1"/>
  <c r="DM120" i="1"/>
  <c r="DO120" i="1"/>
  <c r="DP120" i="1"/>
  <c r="DR120" i="1"/>
  <c r="DT120" i="1"/>
  <c r="DZ120" i="1" s="1"/>
  <c r="EB34" i="1"/>
  <c r="EB31" i="1"/>
  <c r="DJ121" i="1"/>
  <c r="DN121" i="1"/>
  <c r="EB36" i="1"/>
  <c r="EB37" i="1"/>
  <c r="EB28" i="1"/>
  <c r="GA120" i="1"/>
  <c r="GG120" i="1" s="1"/>
  <c r="FS120" i="1" s="1"/>
  <c r="FO120" i="1" s="1"/>
  <c r="FL120" i="1" s="1"/>
  <c r="FK120" i="1" s="1"/>
  <c r="FT120" i="1"/>
  <c r="FV120" i="1"/>
  <c r="FY120" i="1"/>
  <c r="FW120" i="1"/>
  <c r="CJ121" i="1"/>
  <c r="CK121" i="1"/>
  <c r="CM121" i="1"/>
  <c r="CO121" i="1"/>
  <c r="CU121" i="1" s="1"/>
  <c r="CH121" i="1"/>
  <c r="CR120" i="1"/>
  <c r="CS120" i="1" s="1"/>
  <c r="CG120" i="1"/>
  <c r="CC120" i="1" s="1"/>
  <c r="BZ120" i="1" s="1"/>
  <c r="BY120" i="1" s="1"/>
  <c r="CT120" i="1"/>
  <c r="CL120" i="1"/>
  <c r="CN120" i="1"/>
  <c r="CP120" i="1"/>
  <c r="CQ120" i="1" s="1"/>
  <c r="EB24" i="1"/>
  <c r="EB22" i="1" s="1"/>
  <c r="FQ121" i="1"/>
  <c r="FU121" i="1"/>
  <c r="FG154" i="1" l="1"/>
  <c r="Z46" i="1" s="1"/>
  <c r="FG150" i="1"/>
  <c r="Z42" i="1" s="1"/>
  <c r="FG146" i="1"/>
  <c r="T43" i="1" s="1"/>
  <c r="FG143" i="1"/>
  <c r="FG141" i="1" s="1"/>
  <c r="FG155" i="1"/>
  <c r="Z47" i="1" s="1"/>
  <c r="FG153" i="1"/>
  <c r="Z45" i="1" s="1"/>
  <c r="FG148" i="1"/>
  <c r="Z40" i="1" s="1"/>
  <c r="FG144" i="1"/>
  <c r="T38" i="1" s="1"/>
  <c r="FG147" i="1"/>
  <c r="T44" i="1" s="1"/>
  <c r="FG145" i="1"/>
  <c r="T39" i="1" s="1"/>
  <c r="FG149" i="1"/>
  <c r="Z41" i="1" s="1"/>
  <c r="FG156" i="1"/>
  <c r="Z48" i="1" s="1"/>
  <c r="CZ263" i="1"/>
  <c r="CZ261" i="1" s="1"/>
  <c r="CZ266" i="1"/>
  <c r="S63" i="1" s="1"/>
  <c r="CZ265" i="1"/>
  <c r="S59" i="1" s="1"/>
  <c r="CZ269" i="1"/>
  <c r="X61" i="1" s="1"/>
  <c r="CZ268" i="1"/>
  <c r="X60" i="1" s="1"/>
  <c r="CZ270" i="1"/>
  <c r="X62" i="1" s="1"/>
  <c r="CZ274" i="1"/>
  <c r="X66" i="1" s="1"/>
  <c r="CZ276" i="1"/>
  <c r="X68" i="1" s="1"/>
  <c r="DQ240" i="1"/>
  <c r="DY240" i="1"/>
  <c r="DS240" i="1"/>
  <c r="DW240" i="1"/>
  <c r="DX240" i="1" s="1"/>
  <c r="DL240" i="1"/>
  <c r="DH240" i="1" s="1"/>
  <c r="DE240" i="1" s="1"/>
  <c r="DD240" i="1" s="1"/>
  <c r="CZ148" i="1" s="1"/>
  <c r="X40" i="1" s="1"/>
  <c r="DU240" i="1"/>
  <c r="DV240" i="1" s="1"/>
  <c r="GD240" i="1"/>
  <c r="GE240" i="1" s="1"/>
  <c r="GB240" i="1"/>
  <c r="GC240" i="1" s="1"/>
  <c r="FX240" i="1"/>
  <c r="GF240" i="1"/>
  <c r="FZ240" i="1"/>
  <c r="CR121" i="1"/>
  <c r="CS121" i="1" s="1"/>
  <c r="CL121" i="1"/>
  <c r="CT121" i="1"/>
  <c r="CN121" i="1"/>
  <c r="CG121" i="1"/>
  <c r="CC121" i="1" s="1"/>
  <c r="BZ121" i="1" s="1"/>
  <c r="BY121" i="1" s="1"/>
  <c r="BU29" i="1" s="1"/>
  <c r="CP121" i="1"/>
  <c r="CQ121" i="1" s="1"/>
  <c r="FY121" i="1"/>
  <c r="FT121" i="1"/>
  <c r="GA121" i="1"/>
  <c r="GG121" i="1" s="1"/>
  <c r="FW121" i="1"/>
  <c r="FV121" i="1"/>
  <c r="GF120" i="1"/>
  <c r="GD120" i="1"/>
  <c r="GE120" i="1" s="1"/>
  <c r="GB120" i="1"/>
  <c r="GC120" i="1" s="1"/>
  <c r="FX120" i="1"/>
  <c r="FZ120" i="1"/>
  <c r="DM121" i="1"/>
  <c r="DO121" i="1"/>
  <c r="DR121" i="1"/>
  <c r="DT121" i="1"/>
  <c r="DZ121" i="1" s="1"/>
  <c r="DP121" i="1"/>
  <c r="DW120" i="1"/>
  <c r="DX120" i="1" s="1"/>
  <c r="DQ120" i="1"/>
  <c r="DU120" i="1"/>
  <c r="DV120" i="1" s="1"/>
  <c r="DY120" i="1"/>
  <c r="DS120" i="1"/>
  <c r="DL120" i="1"/>
  <c r="DH120" i="1" s="1"/>
  <c r="DE120" i="1" s="1"/>
  <c r="DD120" i="1" s="1"/>
  <c r="BU35" i="1" l="1"/>
  <c r="CZ146" i="1"/>
  <c r="S43" i="1" s="1"/>
  <c r="CZ147" i="1"/>
  <c r="S44" i="1" s="1"/>
  <c r="CZ154" i="1"/>
  <c r="X46" i="1" s="1"/>
  <c r="CZ150" i="1"/>
  <c r="X42" i="1" s="1"/>
  <c r="CZ149" i="1"/>
  <c r="X41" i="1" s="1"/>
  <c r="CZ156" i="1"/>
  <c r="X48" i="1" s="1"/>
  <c r="CZ145" i="1"/>
  <c r="S39" i="1" s="1"/>
  <c r="CZ143" i="1"/>
  <c r="CZ141" i="1" s="1"/>
  <c r="CZ153" i="1"/>
  <c r="X45" i="1" s="1"/>
  <c r="CZ155" i="1"/>
  <c r="X47" i="1" s="1"/>
  <c r="CZ144" i="1"/>
  <c r="S38" i="1" s="1"/>
  <c r="BU30" i="1"/>
  <c r="BU28" i="1"/>
  <c r="BU34" i="1"/>
  <c r="BU25" i="1"/>
  <c r="BU26" i="1"/>
  <c r="BU36" i="1"/>
  <c r="BU27" i="1"/>
  <c r="BU37" i="1"/>
  <c r="BU24" i="1"/>
  <c r="BU22" i="1" s="1"/>
  <c r="BU31" i="1"/>
  <c r="GD121" i="1"/>
  <c r="GE121" i="1" s="1"/>
  <c r="GF121" i="1"/>
  <c r="FZ121" i="1"/>
  <c r="FX121" i="1"/>
  <c r="GB121" i="1"/>
  <c r="GC121" i="1" s="1"/>
  <c r="DQ121" i="1"/>
  <c r="DY121" i="1"/>
  <c r="DS121" i="1"/>
  <c r="DU121" i="1"/>
  <c r="DV121" i="1" s="1"/>
  <c r="DL121" i="1"/>
  <c r="DH121" i="1" s="1"/>
  <c r="DE121" i="1" s="1"/>
  <c r="DD121" i="1" s="1"/>
  <c r="CZ31" i="1" s="1"/>
  <c r="X22" i="1" s="1"/>
  <c r="DW121" i="1"/>
  <c r="DX121" i="1" s="1"/>
  <c r="FS121" i="1"/>
  <c r="FO121" i="1" s="1"/>
  <c r="FL121" i="1" s="1"/>
  <c r="FK121" i="1" s="1"/>
  <c r="FG37" i="1"/>
  <c r="Z28" i="1" s="1"/>
  <c r="FG35" i="1"/>
  <c r="Z26" i="1" s="1"/>
  <c r="FG27" i="1"/>
  <c r="FG24" i="1"/>
  <c r="FG22" i="1" s="1"/>
  <c r="FG26" i="1"/>
  <c r="T19" i="1" s="1"/>
  <c r="FG30" i="1"/>
  <c r="Z21" i="1" s="1"/>
  <c r="FG34" i="1"/>
  <c r="Z25" i="1" s="1"/>
  <c r="FG29" i="1"/>
  <c r="Z20" i="1" s="1"/>
  <c r="FG28" i="1"/>
  <c r="FG25" i="1"/>
  <c r="T18" i="1" s="1"/>
  <c r="FG31" i="1"/>
  <c r="Z22" i="1" s="1"/>
  <c r="FG36" i="1"/>
  <c r="Z27" i="1" s="1"/>
  <c r="CZ27" i="1" l="1"/>
  <c r="S23" i="1" s="1"/>
  <c r="CZ28" i="1"/>
  <c r="S24" i="1" s="1"/>
  <c r="T24" i="1"/>
  <c r="T23" i="1"/>
  <c r="CZ30" i="1"/>
  <c r="X21" i="1" s="1"/>
  <c r="CZ24" i="1"/>
  <c r="CZ22" i="1" s="1"/>
  <c r="CZ34" i="1"/>
  <c r="X25" i="1" s="1"/>
  <c r="CZ36" i="1"/>
  <c r="X27" i="1" s="1"/>
  <c r="CZ26" i="1"/>
  <c r="S19" i="1" s="1"/>
  <c r="CZ37" i="1"/>
  <c r="X28" i="1" s="1"/>
  <c r="CZ29" i="1"/>
  <c r="X20" i="1" s="1"/>
  <c r="CZ25" i="1"/>
  <c r="S18" i="1" s="1"/>
  <c r="CZ35" i="1"/>
  <c r="X26" i="1" s="1"/>
</calcChain>
</file>

<file path=xl/sharedStrings.xml><?xml version="1.0" encoding="utf-8"?>
<sst xmlns="http://schemas.openxmlformats.org/spreadsheetml/2006/main" count="4198" uniqueCount="1741">
  <si>
    <t>Parameter</t>
  </si>
  <si>
    <t xml:space="preserve"> </t>
  </si>
  <si>
    <t>a</t>
  </si>
  <si>
    <t>b</t>
  </si>
  <si>
    <t>CEC</t>
  </si>
  <si>
    <t>pH</t>
  </si>
  <si>
    <t>EC</t>
  </si>
  <si>
    <t>Cl</t>
  </si>
  <si>
    <t>Clay</t>
  </si>
  <si>
    <t>Na</t>
  </si>
  <si>
    <t>ESP</t>
  </si>
  <si>
    <t>CCR</t>
  </si>
  <si>
    <t>Irrigation Eci</t>
  </si>
  <si>
    <t>LFr</t>
  </si>
  <si>
    <t>LFf</t>
  </si>
  <si>
    <t>EC se r</t>
  </si>
  <si>
    <t>Electrical Conductivity of Soil</t>
  </si>
  <si>
    <t>If not input, then set to 0.03</t>
  </si>
  <si>
    <t>Total Depth (Rainfall and Irrigation combined)</t>
  </si>
  <si>
    <t>Look up table for CCR parameters</t>
  </si>
  <si>
    <t xml:space="preserve">Clay content </t>
  </si>
  <si>
    <t>Clay 5-15, CCR &lt;0.35</t>
  </si>
  <si>
    <t>Clay 15-25, CCR &lt;0.35</t>
  </si>
  <si>
    <t>Clay 25-35, CCR &lt;0.35</t>
  </si>
  <si>
    <t>Clay 35-45, CCR &lt;0.35</t>
  </si>
  <si>
    <t>Clay 45-55</t>
  </si>
  <si>
    <t>Clay 55-65</t>
  </si>
  <si>
    <t>Clay 65-75</t>
  </si>
  <si>
    <t>Clay 75-85</t>
  </si>
  <si>
    <t>Clay &gt;85</t>
  </si>
  <si>
    <t>Clay 5-15, CCR 0.35-0.55</t>
  </si>
  <si>
    <t>C 15-25</t>
  </si>
  <si>
    <t>C 25-35</t>
  </si>
  <si>
    <t>C 35-45</t>
  </si>
  <si>
    <t>C 45-55</t>
  </si>
  <si>
    <t>C 55-65</t>
  </si>
  <si>
    <t>C 65-75</t>
  </si>
  <si>
    <t>C 75-85</t>
  </si>
  <si>
    <t>C &gt;85</t>
  </si>
  <si>
    <t>C, CCR 0.55-0.75</t>
  </si>
  <si>
    <t>C 5-15, CCR 0.75-0.95</t>
  </si>
  <si>
    <t>C 5-15, CCR &gt;0.95</t>
  </si>
  <si>
    <t>Parameter A</t>
  </si>
  <si>
    <t>Code</t>
  </si>
  <si>
    <t>Parameter A Code</t>
  </si>
  <si>
    <t>Parameter B Code</t>
  </si>
  <si>
    <t>Parameter A Value</t>
  </si>
  <si>
    <t>Parameter B Value</t>
  </si>
  <si>
    <t>ParameterA</t>
  </si>
  <si>
    <t>ParameterB</t>
  </si>
  <si>
    <t>CEC/Clay</t>
  </si>
  <si>
    <t>LFr + di</t>
  </si>
  <si>
    <t>LF av r</t>
  </si>
  <si>
    <t>LF av r + di</t>
  </si>
  <si>
    <t>EC se r + di</t>
  </si>
  <si>
    <t xml:space="preserve">Rainfall EC, plant salt tolerance, </t>
  </si>
  <si>
    <t>EC - LF adjustment</t>
  </si>
  <si>
    <t>Background and Theory</t>
  </si>
  <si>
    <t>TDI</t>
  </si>
  <si>
    <t>SAR</t>
  </si>
  <si>
    <t>RA</t>
  </si>
  <si>
    <t>Ca</t>
  </si>
  <si>
    <t>Mg</t>
  </si>
  <si>
    <t>K</t>
  </si>
  <si>
    <t>SO4</t>
  </si>
  <si>
    <t>HCO3</t>
  </si>
  <si>
    <t>CO3</t>
  </si>
  <si>
    <t>dS/m</t>
  </si>
  <si>
    <t>mg/L</t>
  </si>
  <si>
    <r>
      <t>mmol</t>
    </r>
    <r>
      <rPr>
        <vertAlign val="subscript"/>
        <sz val="11"/>
        <color theme="1"/>
        <rFont val="Calibri"/>
        <family val="2"/>
        <scheme val="minor"/>
      </rPr>
      <t>c</t>
    </r>
    <r>
      <rPr>
        <sz val="11"/>
        <color theme="1"/>
        <rFont val="Calibri"/>
        <family val="2"/>
        <scheme val="minor"/>
      </rPr>
      <t>/L</t>
    </r>
  </si>
  <si>
    <t>µS/cm</t>
  </si>
  <si>
    <t>Sample</t>
  </si>
  <si>
    <t>Drop Down Lists</t>
  </si>
  <si>
    <t>Quick Assessment Page</t>
  </si>
  <si>
    <t>ppm</t>
  </si>
  <si>
    <t>meq/L</t>
  </si>
  <si>
    <t>hardness</t>
  </si>
  <si>
    <t>alkalinity</t>
  </si>
  <si>
    <t>1 Hoffman</t>
  </si>
  <si>
    <t>2 Sweeny</t>
  </si>
  <si>
    <t>3 Emerald</t>
  </si>
  <si>
    <t>12100129 Burd</t>
  </si>
  <si>
    <t>optional group</t>
  </si>
  <si>
    <t>Salinity 1:5 suspension</t>
  </si>
  <si>
    <t>Saturation extract soil solution</t>
  </si>
  <si>
    <t>Particle size</t>
  </si>
  <si>
    <t>Exchangeable cations</t>
  </si>
  <si>
    <t>Soil water</t>
  </si>
  <si>
    <t>Annual</t>
  </si>
  <si>
    <t>irrigation application</t>
  </si>
  <si>
    <t xml:space="preserve">Irrigation water composition </t>
  </si>
  <si>
    <t xml:space="preserve">depth increments </t>
  </si>
  <si>
    <t>EC 1:5</t>
  </si>
  <si>
    <t>Chloride 1:5</t>
  </si>
  <si>
    <t>pH 1:5</t>
  </si>
  <si>
    <t>ECse</t>
  </si>
  <si>
    <t>clay</t>
  </si>
  <si>
    <t>silt</t>
  </si>
  <si>
    <t>fine sand</t>
  </si>
  <si>
    <t xml:space="preserve">coarse sand </t>
  </si>
  <si>
    <t>ADMC</t>
  </si>
  <si>
    <t xml:space="preserve"> -15 bar</t>
  </si>
  <si>
    <t xml:space="preserve"> -1/3 bar</t>
  </si>
  <si>
    <t>Wmax</t>
  </si>
  <si>
    <t>BD</t>
  </si>
  <si>
    <t>rainfall</t>
  </si>
  <si>
    <t>source 1</t>
  </si>
  <si>
    <t>source2</t>
  </si>
  <si>
    <t>water</t>
  </si>
  <si>
    <r>
      <t>mmol</t>
    </r>
    <r>
      <rPr>
        <vertAlign val="subscript"/>
        <sz val="11"/>
        <color theme="1"/>
        <rFont val="Calibri"/>
        <family val="2"/>
        <scheme val="minor"/>
      </rPr>
      <t>c/L</t>
    </r>
    <r>
      <rPr>
        <sz val="11"/>
        <color theme="1"/>
        <rFont val="Calibri"/>
        <family val="2"/>
        <scheme val="minor"/>
      </rPr>
      <t xml:space="preserve"> (or meq/L)</t>
    </r>
  </si>
  <si>
    <t>%</t>
  </si>
  <si>
    <t>cmole/kg (meq/100g)</t>
  </si>
  <si>
    <t>kg/m3</t>
  </si>
  <si>
    <t>mm</t>
  </si>
  <si>
    <t>mm/ha</t>
  </si>
  <si>
    <t>Site number</t>
  </si>
  <si>
    <t>Description</t>
  </si>
  <si>
    <t>start (cm)</t>
  </si>
  <si>
    <t>end (cm)</t>
  </si>
  <si>
    <t>(dS/m)</t>
  </si>
  <si>
    <t>(mg/Mg??)</t>
  </si>
  <si>
    <t>HCO3/CO3</t>
  </si>
  <si>
    <t>Results</t>
  </si>
  <si>
    <t>No/Description</t>
  </si>
  <si>
    <t>Irrigation Water Quality (From Table 40)</t>
  </si>
  <si>
    <t>EC (dS/m)</t>
  </si>
  <si>
    <t>LF = 0.15</t>
  </si>
  <si>
    <t>Chloride (mg/L)</t>
  </si>
  <si>
    <t>Water Salinity Rating</t>
  </si>
  <si>
    <t>Plant salt-tolerance grouping</t>
  </si>
  <si>
    <t>&lt; 220</t>
  </si>
  <si>
    <t>&lt; 0.65</t>
  </si>
  <si>
    <t>0.65-1.3</t>
  </si>
  <si>
    <t>220-440</t>
  </si>
  <si>
    <t>1.3-2.9</t>
  </si>
  <si>
    <t>440-800</t>
  </si>
  <si>
    <t>2.9-5.2</t>
  </si>
  <si>
    <t>800-1500</t>
  </si>
  <si>
    <t>5.2-8.1</t>
  </si>
  <si>
    <t>1500-2500</t>
  </si>
  <si>
    <t>&gt; 8.1</t>
  </si>
  <si>
    <t>&gt; 2500</t>
  </si>
  <si>
    <t>Soil Water</t>
  </si>
  <si>
    <t>mmolc/L</t>
  </si>
  <si>
    <t>Alkalinity</t>
  </si>
  <si>
    <t>Hardness</t>
  </si>
  <si>
    <t>as CaCO3</t>
  </si>
  <si>
    <t>EC check</t>
  </si>
  <si>
    <t>SAR check</t>
  </si>
  <si>
    <t>RA check</t>
  </si>
  <si>
    <t>Can the data be calculated at all</t>
  </si>
  <si>
    <t>test site</t>
  </si>
  <si>
    <t>grains/gallon</t>
  </si>
  <si>
    <t>mg/L as CaCO3</t>
  </si>
  <si>
    <t>Conversions - will be hidden</t>
  </si>
  <si>
    <t>x</t>
  </si>
  <si>
    <t>y</t>
  </si>
  <si>
    <t>Most sensitive soil conservative</t>
  </si>
  <si>
    <t>Most sensitive soil ANZECC</t>
  </si>
  <si>
    <t>Least sensitive soil conservative</t>
  </si>
  <si>
    <t>Least sensitive soil ANZECC</t>
  </si>
  <si>
    <t>Barley, grain</t>
  </si>
  <si>
    <t>Hordeum vulgare</t>
  </si>
  <si>
    <t>Common name</t>
  </si>
  <si>
    <t>Scientific name</t>
  </si>
  <si>
    <r>
      <t>Salinity threshold (EC</t>
    </r>
    <r>
      <rPr>
        <b/>
        <vertAlign val="subscript"/>
        <sz val="9"/>
        <color theme="1"/>
        <rFont val="Times New Roman"/>
        <family val="1"/>
      </rPr>
      <t>se</t>
    </r>
    <r>
      <rPr>
        <b/>
        <sz val="9"/>
        <color theme="1"/>
        <rFont val="Times New Roman"/>
        <family val="1"/>
      </rPr>
      <t>)</t>
    </r>
  </si>
  <si>
    <t>Productivity decrease per dS/m increase (%)</t>
  </si>
  <si>
    <r>
      <t>Soil salinity EC</t>
    </r>
    <r>
      <rPr>
        <b/>
        <vertAlign val="subscript"/>
        <sz val="9"/>
        <color theme="1"/>
        <rFont val="Times New Roman"/>
        <family val="1"/>
      </rPr>
      <t>se</t>
    </r>
    <r>
      <rPr>
        <b/>
        <sz val="9"/>
        <color theme="1"/>
        <rFont val="Times New Roman"/>
        <family val="1"/>
      </rPr>
      <t xml:space="preserve"> at</t>
    </r>
  </si>
  <si>
    <t>90% yield</t>
  </si>
  <si>
    <t>75% yield</t>
  </si>
  <si>
    <t>50% yield</t>
  </si>
  <si>
    <t>Grains</t>
  </si>
  <si>
    <t>Corn, grain, sweet</t>
  </si>
  <si>
    <t>Zea mays</t>
  </si>
  <si>
    <t>Cotton</t>
  </si>
  <si>
    <t>Gossypium hirsutum</t>
  </si>
  <si>
    <t>Cowpea (seed)</t>
  </si>
  <si>
    <t>Vigna unguiculata</t>
  </si>
  <si>
    <t>Cowpea, Caloona</t>
  </si>
  <si>
    <t>Vigna unguiculata var. Caloona</t>
  </si>
  <si>
    <t>Flax/Linseed</t>
  </si>
  <si>
    <t>Vinum usitatissimum</t>
  </si>
  <si>
    <t>Oats</t>
  </si>
  <si>
    <t>Avena sativa</t>
  </si>
  <si>
    <t>Peanut</t>
  </si>
  <si>
    <t>Arachis hypogala</t>
  </si>
  <si>
    <t>Phasey bean, Murray</t>
  </si>
  <si>
    <t>Macroptilium lathyroides</t>
  </si>
  <si>
    <t>Rice, paddy</t>
  </si>
  <si>
    <t>Oryza sativa</t>
  </si>
  <si>
    <t>Safflower</t>
  </si>
  <si>
    <t>Carthamus tinctorius</t>
  </si>
  <si>
    <t>Sorghum</t>
  </si>
  <si>
    <t>Sorghum bicolor</t>
  </si>
  <si>
    <t>Sorghum, crooble</t>
  </si>
  <si>
    <t>Sorghum almum</t>
  </si>
  <si>
    <t>Soybean</t>
  </si>
  <si>
    <t>Glycine max</t>
  </si>
  <si>
    <t>Sugarcane</t>
  </si>
  <si>
    <t>Saccharum officinarum</t>
  </si>
  <si>
    <t>Sunflower</t>
  </si>
  <si>
    <t>Helianthus annual app.</t>
  </si>
  <si>
    <t>Wheat</t>
  </si>
  <si>
    <t>Triticum aestivum</t>
  </si>
  <si>
    <t>Wheat, durum</t>
  </si>
  <si>
    <t>Triticum turgidum</t>
  </si>
  <si>
    <t>Fruits</t>
  </si>
  <si>
    <t>Almond</t>
  </si>
  <si>
    <t>Prunus dulcis</t>
  </si>
  <si>
    <t>Apple</t>
  </si>
  <si>
    <t>Malus sylvestris</t>
  </si>
  <si>
    <t>Apricot</t>
  </si>
  <si>
    <t>Prunus armeniaca</t>
  </si>
  <si>
    <t>Avocado</t>
  </si>
  <si>
    <t>Persea americana</t>
  </si>
  <si>
    <t>Blackberry</t>
  </si>
  <si>
    <t>Rubus spp.</t>
  </si>
  <si>
    <t>Boysenberry</t>
  </si>
  <si>
    <t>Rubus ursinus</t>
  </si>
  <si>
    <t>Date</t>
  </si>
  <si>
    <t>Phoenix dactylifera</t>
  </si>
  <si>
    <t>Fig</t>
  </si>
  <si>
    <t>Ficus carica</t>
  </si>
  <si>
    <t>Grape</t>
  </si>
  <si>
    <t>Vitis spp.</t>
  </si>
  <si>
    <t>Grapefruit</t>
  </si>
  <si>
    <t>Citrus paradisi</t>
  </si>
  <si>
    <t>Guava, pineapple</t>
  </si>
  <si>
    <t>Feijoa sellowiana</t>
  </si>
  <si>
    <t>Lemon</t>
  </si>
  <si>
    <t>Citrus limon</t>
  </si>
  <si>
    <t>Natal plum</t>
  </si>
  <si>
    <t>Carissa grandiflora</t>
  </si>
  <si>
    <t>Olive</t>
  </si>
  <si>
    <t>Olea europaea</t>
  </si>
  <si>
    <t>Orange</t>
  </si>
  <si>
    <t>Citrus sinensis</t>
  </si>
  <si>
    <t>Peach</t>
  </si>
  <si>
    <t>Prunus persica</t>
  </si>
  <si>
    <t>Pear</t>
  </si>
  <si>
    <t>Pyrus spp.</t>
  </si>
  <si>
    <t>Plum</t>
  </si>
  <si>
    <t>(Prune)</t>
  </si>
  <si>
    <t>Prunus domestica</t>
  </si>
  <si>
    <t>Pomegranate</t>
  </si>
  <si>
    <t>Punica granatum</t>
  </si>
  <si>
    <t>Raspberry</t>
  </si>
  <si>
    <t>Rubus ideaeus</t>
  </si>
  <si>
    <t>Rockmelon</t>
  </si>
  <si>
    <t>Cucumis melo</t>
  </si>
  <si>
    <t>Strawberry</t>
  </si>
  <si>
    <t>Fragaria</t>
  </si>
  <si>
    <t>Heavy vegetables</t>
  </si>
  <si>
    <t>Beet, garden</t>
  </si>
  <si>
    <t>Beta vulgaris</t>
  </si>
  <si>
    <t>Beet, sugar</t>
  </si>
  <si>
    <t>Onion</t>
  </si>
  <si>
    <t>Allium cepa</t>
  </si>
  <si>
    <t>Potato</t>
  </si>
  <si>
    <t>Solanum tuberosum</t>
  </si>
  <si>
    <t>Sweet potato</t>
  </si>
  <si>
    <t>Ipomoea batatas</t>
  </si>
  <si>
    <t>Ornamentals</t>
  </si>
  <si>
    <t>Aborvitae</t>
  </si>
  <si>
    <t>Thuja orientalus</t>
  </si>
  <si>
    <t>Algerian ivy</t>
  </si>
  <si>
    <t>Hedera camariensis</t>
  </si>
  <si>
    <t>Bambatsi</t>
  </si>
  <si>
    <t>Panicum coloratum</t>
  </si>
  <si>
    <t>Bottlebrush</t>
  </si>
  <si>
    <t>Callistemon viminalis</t>
  </si>
  <si>
    <t>Bougainvillea</t>
  </si>
  <si>
    <t>Bougainvillea spectabilis</t>
  </si>
  <si>
    <t>Boxwood</t>
  </si>
  <si>
    <t>Buxus microphylla var. Japonica</t>
  </si>
  <si>
    <t>Chinese holly</t>
  </si>
  <si>
    <t>Ilex cornuta</t>
  </si>
  <si>
    <t>Dracaena</t>
  </si>
  <si>
    <t>Dracaena endivisa</t>
  </si>
  <si>
    <t>Euonymus</t>
  </si>
  <si>
    <t>Euonymus japonica var. grandiflora</t>
  </si>
  <si>
    <t>Heavenly bamboo</t>
  </si>
  <si>
    <t>Handina domestica</t>
  </si>
  <si>
    <t>Hibiscus</t>
  </si>
  <si>
    <t>Hibiscus rosa‑sinensis cv. Brilliante</t>
  </si>
  <si>
    <t>Juniper</t>
  </si>
  <si>
    <t>Juniperus chinensis</t>
  </si>
  <si>
    <t>Lantana</t>
  </si>
  <si>
    <t>Lantana camera</t>
  </si>
  <si>
    <t>Oleander</t>
  </si>
  <si>
    <t>Nerium oleander</t>
  </si>
  <si>
    <t>Pittosporum</t>
  </si>
  <si>
    <t>Pittosporum tobira</t>
  </si>
  <si>
    <t>Privet</t>
  </si>
  <si>
    <t>Ligustrum lucidum</t>
  </si>
  <si>
    <t>Pyracantha</t>
  </si>
  <si>
    <t>Pyracantha braperi</t>
  </si>
  <si>
    <t>Rose</t>
  </si>
  <si>
    <t>Rosa spp.</t>
  </si>
  <si>
    <t>Star jasmine</t>
  </si>
  <si>
    <t>Trachelosperumum jasminoides</t>
  </si>
  <si>
    <t>Viburnum</t>
  </si>
  <si>
    <t>Viburnum spp.</t>
  </si>
  <si>
    <t>Xylosma</t>
  </si>
  <si>
    <t>Xylosma senticosa</t>
  </si>
  <si>
    <t>Pastures</t>
  </si>
  <si>
    <t>Barley, forage</t>
  </si>
  <si>
    <t>Barley, hay</t>
  </si>
  <si>
    <t>Barrel medic, Cyprus</t>
  </si>
  <si>
    <t>Medicago truncatula</t>
  </si>
  <si>
    <t>Barrel medic, Jemalong</t>
  </si>
  <si>
    <t>Buffel grass, Gayndah</t>
  </si>
  <si>
    <t>Cenchrus ciliaris var Gayndah</t>
  </si>
  <si>
    <t>Buffel grass, Nunbank</t>
  </si>
  <si>
    <t>Cenchrus ciliaris var Nunbank</t>
  </si>
  <si>
    <t>Clover, alsike, ladino, red</t>
  </si>
  <si>
    <t>Trifolium spp.</t>
  </si>
  <si>
    <t>Clover, berseem</t>
  </si>
  <si>
    <t>Clover, berseem (USA)</t>
  </si>
  <si>
    <t>Trifolium alexandrinum</t>
  </si>
  <si>
    <t>Clover, rose (Kondinin)</t>
  </si>
  <si>
    <t>Trifolium hirtum</t>
  </si>
  <si>
    <t>Clover, strawberry (Palestine)</t>
  </si>
  <si>
    <t>Trifolium fragiferum</t>
  </si>
  <si>
    <t>Clover, white (New Zealand)</t>
  </si>
  <si>
    <t>Trifolium repens</t>
  </si>
  <si>
    <t>Clover, white (Safari)</t>
  </si>
  <si>
    <t>Trifolium semipilosum</t>
  </si>
  <si>
    <t>Corn, forage</t>
  </si>
  <si>
    <t>Couch grass</t>
  </si>
  <si>
    <t>Cynodon dactylon</t>
  </si>
  <si>
    <t>Cowpea (vegetative)</t>
  </si>
  <si>
    <t>Desmodium, green leaf</t>
  </si>
  <si>
    <t>Desmodium intortum</t>
  </si>
  <si>
    <t>Desmodium, silverleaf</t>
  </si>
  <si>
    <t>Desmodium uncinatum</t>
  </si>
  <si>
    <t>Dodonea</t>
  </si>
  <si>
    <t>Dodonea viscosa</t>
  </si>
  <si>
    <t>Dolichos Rongai</t>
  </si>
  <si>
    <t>Lablab purpureus</t>
  </si>
  <si>
    <t>Fescue</t>
  </si>
  <si>
    <t>Festuca clatior</t>
  </si>
  <si>
    <t>Glycine tinaroo</t>
  </si>
  <si>
    <t>Glycine ughtii</t>
  </si>
  <si>
    <t>Green panic, Petri</t>
  </si>
  <si>
    <t>Panicum maximum</t>
  </si>
  <si>
    <t>Kikuya grass, Whittet</t>
  </si>
  <si>
    <t>Pennisetum clandestinum</t>
  </si>
  <si>
    <t>Leichhardt</t>
  </si>
  <si>
    <t>Macrotyloma uniflorum</t>
  </si>
  <si>
    <t>Lotononis, Miles</t>
  </si>
  <si>
    <t>Lotononis bainesii</t>
  </si>
  <si>
    <t>Lovegrass</t>
  </si>
  <si>
    <t>Eragrostis spp.</t>
  </si>
  <si>
    <t>Lucerne, Hunter River</t>
  </si>
  <si>
    <t>Lucerne, Hunter River (temperate)</t>
  </si>
  <si>
    <t>Medicago sativa</t>
  </si>
  <si>
    <t>Lucerne (USA)</t>
  </si>
  <si>
    <t>Meadow foxtail</t>
  </si>
  <si>
    <t>Alopecurus pratensis</t>
  </si>
  <si>
    <t>Orchard grass</t>
  </si>
  <si>
    <t>Dactylis glomerata</t>
  </si>
  <si>
    <t>Pangola grass</t>
  </si>
  <si>
    <t>Digitaria decumbens (pentzii)</t>
  </si>
  <si>
    <t>Paspalum</t>
  </si>
  <si>
    <t>Paspalum dilatatum</t>
  </si>
  <si>
    <t>Phalaris</t>
  </si>
  <si>
    <t>Phalaris tuberosa (aquatica)</t>
  </si>
  <si>
    <t>Rhodes grass, Pioneer</t>
  </si>
  <si>
    <t>Chloris gayana</t>
  </si>
  <si>
    <t>Sesbania</t>
  </si>
  <si>
    <t>Sesbania exaltata</t>
  </si>
  <si>
    <t>Setaria, Nandi</t>
  </si>
  <si>
    <t>Setaria speculata var. sericea</t>
  </si>
  <si>
    <t>Siratro</t>
  </si>
  <si>
    <t>Macroptilium atropurpureum</t>
  </si>
  <si>
    <t>Snail medic</t>
  </si>
  <si>
    <t>Medicago scutellata</t>
  </si>
  <si>
    <t>Strand medic</t>
  </si>
  <si>
    <t>Medicago littoralis</t>
  </si>
  <si>
    <t>Sudan grass</t>
  </si>
  <si>
    <t>Sorghum sudanense</t>
  </si>
  <si>
    <t>Townsville stylo</t>
  </si>
  <si>
    <t>Stylosanthes humilis</t>
  </si>
  <si>
    <t>Trefoil, big</t>
  </si>
  <si>
    <t>Lotus uliginosus</t>
  </si>
  <si>
    <t>Trefoil, birdsfoot</t>
  </si>
  <si>
    <t>Lotus corniculatus tenuifolium</t>
  </si>
  <si>
    <t>Urochloa</t>
  </si>
  <si>
    <t>Urochloa mosambicensis</t>
  </si>
  <si>
    <t>Wheatgrass, crested</t>
  </si>
  <si>
    <t>Agropyron desertorum</t>
  </si>
  <si>
    <t>Wheatgrass, fairway</t>
  </si>
  <si>
    <t>Agropyron cristatum</t>
  </si>
  <si>
    <t>Wheatgrass, tall</t>
  </si>
  <si>
    <t>Agropyron elongatum</t>
  </si>
  <si>
    <t>Vegetables</t>
  </si>
  <si>
    <t>Bean</t>
  </si>
  <si>
    <t>Phaseolus vulgaris</t>
  </si>
  <si>
    <t>Broadbean</t>
  </si>
  <si>
    <t>Vicia faba</t>
  </si>
  <si>
    <t>Broccoli</t>
  </si>
  <si>
    <t>Brassica oleracea</t>
  </si>
  <si>
    <t>Cabbage</t>
  </si>
  <si>
    <t>Brassica oleracea (var. Capitata)</t>
  </si>
  <si>
    <t>Carrot</t>
  </si>
  <si>
    <t>Daucus carota</t>
  </si>
  <si>
    <t>Cauliflower</t>
  </si>
  <si>
    <t>Celery</t>
  </si>
  <si>
    <t>Apium graveolens</t>
  </si>
  <si>
    <t>Cucumber</t>
  </si>
  <si>
    <t>Cucumis sativus</t>
  </si>
  <si>
    <t>Eggplant</t>
  </si>
  <si>
    <t>Solanum melongena</t>
  </si>
  <si>
    <t>Kale</t>
  </si>
  <si>
    <t>Brassica campestris</t>
  </si>
  <si>
    <t>Lettuce</t>
  </si>
  <si>
    <t>Latuca sativa</t>
  </si>
  <si>
    <t>Pea</t>
  </si>
  <si>
    <t>Pisum sativum L.</t>
  </si>
  <si>
    <t>Pepper</t>
  </si>
  <si>
    <t>Capsicum annum</t>
  </si>
  <si>
    <t>Rosemary</t>
  </si>
  <si>
    <t>Rosmarinus lockwoodii</t>
  </si>
  <si>
    <t>Spinach</t>
  </si>
  <si>
    <t>Spinacia oleracea</t>
  </si>
  <si>
    <t>Squash</t>
  </si>
  <si>
    <t>Cucurbita maxima</t>
  </si>
  <si>
    <t>Squash, scallop</t>
  </si>
  <si>
    <t>Cucurbita pepo melopepo</t>
  </si>
  <si>
    <t>Tomato</t>
  </si>
  <si>
    <t>Lycopersicon esculentum</t>
  </si>
  <si>
    <t>Turnip</t>
  </si>
  <si>
    <t>Brassica rapu</t>
  </si>
  <si>
    <t>Zucchini</t>
  </si>
  <si>
    <t>Category</t>
  </si>
  <si>
    <t>Value to order</t>
  </si>
  <si>
    <t>LF</t>
  </si>
  <si>
    <t>Code assessment</t>
  </si>
  <si>
    <t>Very Low</t>
  </si>
  <si>
    <t>Low</t>
  </si>
  <si>
    <t>Medium</t>
  </si>
  <si>
    <t>High</t>
  </si>
  <si>
    <t>Very High</t>
  </si>
  <si>
    <t>Extreme</t>
  </si>
  <si>
    <t>Sensitive</t>
  </si>
  <si>
    <t>Moderately sensitive</t>
  </si>
  <si>
    <t>Moderately tolerant</t>
  </si>
  <si>
    <t>Tolerant</t>
  </si>
  <si>
    <t>Very tolerant</t>
  </si>
  <si>
    <t>Very highly tolerant</t>
  </si>
  <si>
    <t>LF = 0.1</t>
  </si>
  <si>
    <t>LF = 0.2</t>
  </si>
  <si>
    <t>&lt; 0.5</t>
  </si>
  <si>
    <t>0.5-1</t>
  </si>
  <si>
    <t>1-2.4</t>
  </si>
  <si>
    <t>2.4-4.1</t>
  </si>
  <si>
    <t>4.1-6.5</t>
  </si>
  <si>
    <t>&gt;6.5</t>
  </si>
  <si>
    <t>&lt; 0.75</t>
  </si>
  <si>
    <t>0.75-1.5</t>
  </si>
  <si>
    <t>1.5-3.5</t>
  </si>
  <si>
    <t>3.5-5.9</t>
  </si>
  <si>
    <t>5.9-9.4</t>
  </si>
  <si>
    <t>&gt;9.4</t>
  </si>
  <si>
    <t>Depth Increment</t>
  </si>
  <si>
    <t>Check closest point to 1m</t>
  </si>
  <si>
    <t>Average clay</t>
  </si>
  <si>
    <t>Average CEC</t>
  </si>
  <si>
    <t>Up to 30cm</t>
  </si>
  <si>
    <t>EC i+r</t>
  </si>
  <si>
    <t>Eci</t>
  </si>
  <si>
    <t>&lt;170</t>
  </si>
  <si>
    <t>&gt;2000</t>
  </si>
  <si>
    <t>&gt;2900</t>
  </si>
  <si>
    <t>Add specific local data</t>
  </si>
  <si>
    <t>PREDICTIVE CALCULATOR</t>
  </si>
  <si>
    <t>Profile 1</t>
  </si>
  <si>
    <t>Step 1</t>
  </si>
  <si>
    <t>Step 2</t>
  </si>
  <si>
    <t>Step 3</t>
  </si>
  <si>
    <t>Step 4</t>
  </si>
  <si>
    <t>Step 5</t>
  </si>
  <si>
    <t>Site number or description</t>
  </si>
  <si>
    <t>Average annual rainfall (mm)</t>
  </si>
  <si>
    <t>Annual irrigation application (mm/ha)</t>
  </si>
  <si>
    <t>Data  Test</t>
  </si>
  <si>
    <t>Irrigation Water Quality</t>
  </si>
  <si>
    <t>Graph</t>
  </si>
  <si>
    <t>QUICK CALCULATOR</t>
  </si>
  <si>
    <t>Quick Calculator</t>
  </si>
  <si>
    <t>Salinity, soil, water, irrigation and plant salt tolerance calculator</t>
  </si>
  <si>
    <t>PLANT SALT TOLERANCE</t>
  </si>
  <si>
    <t>Click below for drop down list</t>
  </si>
  <si>
    <t xml:space="preserve">   </t>
  </si>
  <si>
    <t>To see a full list of the plants in order of their Category, click the following link</t>
  </si>
  <si>
    <t>To see a full list of the plants in order of their Tolerance, click the following link</t>
  </si>
  <si>
    <t>Plant Salt Tolerance by Category</t>
  </si>
  <si>
    <t>Plant Salt Tolerance by Tolerance</t>
  </si>
  <si>
    <t>PLANT SALT TOLERANCE BY SALINTY THRESHOLD</t>
  </si>
  <si>
    <t>These plants are ordered by their salt tolerance in descending order, using the 90% yield value if it exists, otherwise the Salinity threshold (Ecse).</t>
  </si>
  <si>
    <t>PLANT SALT TOLERANCE BY PLANT TYPE CATEGORY</t>
  </si>
  <si>
    <t>Return to Plant Salt Tolerance Page</t>
  </si>
  <si>
    <t>Profile 2</t>
  </si>
  <si>
    <t>Profile 3</t>
  </si>
  <si>
    <t>Rainfall (mm)</t>
  </si>
  <si>
    <t>Irrigation (mm)</t>
  </si>
  <si>
    <t>Which site number</t>
  </si>
  <si>
    <t>Site 1</t>
  </si>
  <si>
    <t>Site 2</t>
  </si>
  <si>
    <t>Site 3</t>
  </si>
  <si>
    <t>Site 4</t>
  </si>
  <si>
    <t>Site 5</t>
  </si>
  <si>
    <t>Number</t>
  </si>
  <si>
    <t>No Prediction</t>
  </si>
  <si>
    <t>Site Name/Number</t>
  </si>
  <si>
    <t>`</t>
  </si>
  <si>
    <t>ESP calc</t>
  </si>
  <si>
    <t>FIELD DATA VALIDATION</t>
  </si>
  <si>
    <t>Requirements: Files to import must be in the correct columns, see headings below for the order. Instructions provided assume the use of a text file with a delimiter recognisable by Excel, i.e. .csv files etc.</t>
  </si>
  <si>
    <t>Click on the Data tab in Excel (this may only work for more recent versions of Excel)</t>
  </si>
  <si>
    <t>Click on the From Text button (third from the left)</t>
  </si>
  <si>
    <t>Locate the file to import and click Import</t>
  </si>
  <si>
    <t>Choose whether your file is Delimited or Fixed Width Columns and click Next (from this point we assume the file is Delimited)</t>
  </si>
  <si>
    <t>Choose the relevant delimiter and check in the lower part of the window if the columns are separately correctly, if so click Next</t>
  </si>
  <si>
    <t>Step 6</t>
  </si>
  <si>
    <t>Click Finish, unless you want to skip columns or change formatting - most likely not required</t>
  </si>
  <si>
    <t>Step 7</t>
  </si>
  <si>
    <t>Step 8</t>
  </si>
  <si>
    <t>Site</t>
  </si>
  <si>
    <t>Rainfall</t>
  </si>
  <si>
    <t>Irrigation</t>
  </si>
  <si>
    <t>Choose cell B17 for the location and Click OK</t>
  </si>
  <si>
    <t>Click the Properties button, in the following dialog box ensure 'Save Query Results' is unselected, then click Ok</t>
  </si>
  <si>
    <t>ESP 0-0.1m</t>
  </si>
  <si>
    <t>Ddr</t>
  </si>
  <si>
    <t>LF i+r</t>
  </si>
  <si>
    <t>Ddi+r</t>
  </si>
  <si>
    <t>ECs of Ddr</t>
  </si>
  <si>
    <t>ECse of Ddr</t>
  </si>
  <si>
    <t>ECs  of Ddi+r</t>
  </si>
  <si>
    <t>ECse of Ddi+r</t>
  </si>
  <si>
    <t>T to EC equil</t>
  </si>
  <si>
    <t>Plant yield</t>
  </si>
  <si>
    <t>Yr</t>
  </si>
  <si>
    <t>ESP 0.1m adj for RA</t>
  </si>
  <si>
    <t>Wmin</t>
  </si>
  <si>
    <t>PAWC</t>
  </si>
  <si>
    <t>ESP 0.1m</t>
  </si>
  <si>
    <t>EC i</t>
  </si>
  <si>
    <t>B</t>
  </si>
  <si>
    <t>Parameter b</t>
  </si>
  <si>
    <t>Prune</t>
  </si>
  <si>
    <t>Click to choose a crop</t>
  </si>
  <si>
    <t>Productivity</t>
  </si>
  <si>
    <t>Threshold</t>
  </si>
  <si>
    <t>Ca-RA</t>
  </si>
  <si>
    <t>SAR Adjust</t>
  </si>
  <si>
    <t>Cl 1:5</t>
  </si>
  <si>
    <t>mg/kg</t>
  </si>
  <si>
    <t>Choose unit</t>
  </si>
  <si>
    <t>Conversion</t>
  </si>
  <si>
    <t>Unit - ppm or mg/kg</t>
  </si>
  <si>
    <t>Use to calculate CL 1:5</t>
  </si>
  <si>
    <t>If no ADMC calculate here</t>
  </si>
  <si>
    <t>Average</t>
  </si>
  <si>
    <t>Check for closest to 1m</t>
  </si>
  <si>
    <t>#</t>
  </si>
  <si>
    <t>1500kPa</t>
  </si>
  <si>
    <t>AMDC</t>
  </si>
  <si>
    <t xml:space="preserve"> CEC</t>
  </si>
  <si>
    <t>(kg/m3)</t>
  </si>
  <si>
    <t>cm</t>
  </si>
  <si>
    <t>Up to 10 cm</t>
  </si>
  <si>
    <t>RZ Ecse av</t>
  </si>
  <si>
    <t>RZ Ecse wuw</t>
  </si>
  <si>
    <t>Soil 1</t>
  </si>
  <si>
    <t>Soil 2</t>
  </si>
  <si>
    <t>Soil 3</t>
  </si>
  <si>
    <r>
      <t>EC</t>
    </r>
    <r>
      <rPr>
        <b/>
        <vertAlign val="subscript"/>
        <sz val="11"/>
        <color theme="1"/>
        <rFont val="Calibri"/>
        <family val="2"/>
        <scheme val="minor"/>
      </rPr>
      <t xml:space="preserve">i+r </t>
    </r>
  </si>
  <si>
    <t>Adjusted SAR from pdf</t>
  </si>
  <si>
    <t>Ca eq</t>
  </si>
  <si>
    <t>SAR adj</t>
  </si>
  <si>
    <t>LF = 0.10</t>
  </si>
  <si>
    <t>LF = 0.20</t>
  </si>
  <si>
    <t>Parameters</t>
  </si>
  <si>
    <t>A</t>
  </si>
  <si>
    <t>Profiles</t>
  </si>
  <si>
    <t>Limitations</t>
  </si>
  <si>
    <t>The calculation tools are for general irrigation water suitability and soil property evaluations and calculations only. The software tools are a decision aid to assist in achieving sustainable irrigation and to estimate various soil parameters relevant to irrigation and soil management from more easily measured soil properties. It is not a substitute for local regional knowledge and advice, diagnosis, or treatment of any irrigation or soil or plant growth condition but can be used as a decision support tool to consider various scenarios.</t>
  </si>
  <si>
    <t xml:space="preserve">The relationships and algorithms have been derived from a wide range of situations in Queensland Australia, a summer dominant rainfall environment and generally on clay soils. The direct applicability to winter rainfall environments where soil leaching is expected to be relatively higher due to rainfall in lower evaporation periods needs caution in application. </t>
  </si>
  <si>
    <t>The increased use of effluent disposal on land by irrigation and treated coal seam gas water for irrigation have introduced additional requirements particularly on evaluating the effects of high concentrations of bicarbonate and sodium and highly alkaline waters which need further evaluation and validation. In some cases management of marginal quality waters with higher amounts of amendments requires validation over the longer term.</t>
  </si>
  <si>
    <t xml:space="preserve">Authors’ Disclaimer </t>
  </si>
  <si>
    <t>Detail</t>
  </si>
  <si>
    <t xml:space="preserve">The material and evaluations presented in this software are the view of the authors and includes information from publications, discussions, interviews and a range of sources. None of the sources are responsible for any errors in algorithms or interpretation made of the information provided. All reasonable care has been taken in compiling this software but known gaps exist in necessary understanding of processes. Processes have been simplified and in some cases averages of soil properties or surrogate parameters are used based on regressions and correlations which may influence the results. Any additional information that becomes available in the future may change the algorithms, interpretations and recommendations. </t>
  </si>
  <si>
    <r>
      <t xml:space="preserve">While the software closely approximates the ANZECC &amp; ARMCANZ (2000)  Water quality guidelines </t>
    </r>
    <r>
      <rPr>
        <i/>
        <sz val="11"/>
        <color rgb="FF000000"/>
        <rFont val="Arial"/>
        <family val="2"/>
      </rPr>
      <t>Section 9.2.3 Salinity and sodicity</t>
    </r>
    <r>
      <rPr>
        <sz val="11"/>
        <color rgb="FF000000"/>
        <rFont val="Arial"/>
        <family val="2"/>
      </rPr>
      <t xml:space="preserve"> and is based on the original sources as used in the guidelines, the views and conclusions contained in this software should not be interpreted as necessarily representing the official policies, either expressed or implied, of the agencies from which source material has been taken. </t>
    </r>
  </si>
  <si>
    <t>The software covers a number of technical issues associated with processes and management of salinity and sodicity in irrigation situations but it does not cover all situations and environments. The information and recommendations made should not be acted on, or ignored, without independent consideration and advice.</t>
  </si>
  <si>
    <t xml:space="preserve">Copyright </t>
  </si>
  <si>
    <t xml:space="preserve">The software relies heavily on prior published and unpublished information and data including from Queensland Government sources. All sources of information have been acknowledged in the background information section. </t>
  </si>
  <si>
    <t>Plot for graph format for Quick Calculator</t>
  </si>
  <si>
    <t>Plot data for Soil profile line for each profile overlaying other graph</t>
  </si>
  <si>
    <t>Lookup table for Predictive plant yield</t>
  </si>
  <si>
    <t>SAR adj Ca ESP 0-0.1m</t>
  </si>
  <si>
    <t>Water Salinity Rating  (LF = 0.15)</t>
  </si>
  <si>
    <t>Rating</t>
  </si>
  <si>
    <t>SAR adj Ca</t>
  </si>
  <si>
    <t>SAR adj RA</t>
  </si>
  <si>
    <t>Water description</t>
  </si>
  <si>
    <t>Water sample</t>
  </si>
  <si>
    <t>CA eq</t>
  </si>
  <si>
    <t>ca eq</t>
  </si>
  <si>
    <t>E13A before adjusting SAR to ESP</t>
  </si>
  <si>
    <t>SAR Ddi+r</t>
  </si>
  <si>
    <t>SAR Ddi+r adj Ca</t>
  </si>
  <si>
    <t>Clay calcium varying pCO2</t>
  </si>
  <si>
    <t>from Quick step 3</t>
  </si>
  <si>
    <t>Na/LF / SQRT( ((Caeq +( Mg/Lf))/2)</t>
  </si>
  <si>
    <t>Clay 40 change</t>
  </si>
  <si>
    <t>Ddi+r/Ddr</t>
  </si>
  <si>
    <t>ESP 0.9 adj i+r</t>
  </si>
  <si>
    <t>ESP 0.9m adj i+r Ca</t>
  </si>
  <si>
    <t>GR SMH</t>
  </si>
  <si>
    <t>GR Oster</t>
  </si>
  <si>
    <t>GR SMH ESPadjCa</t>
  </si>
  <si>
    <t>GR Oster ESPadjCa</t>
  </si>
  <si>
    <t xml:space="preserve">esp </t>
  </si>
  <si>
    <t>esp ca sar adj</t>
  </si>
  <si>
    <t>Depth groupings</t>
  </si>
  <si>
    <t>LSL</t>
  </si>
  <si>
    <t>USL</t>
  </si>
  <si>
    <t>Sand</t>
  </si>
  <si>
    <t>PAWC (Shaw &amp; Yule)</t>
  </si>
  <si>
    <t>PAWCER</t>
  </si>
  <si>
    <t xml:space="preserve">Depth </t>
  </si>
  <si>
    <t>Generic</t>
  </si>
  <si>
    <t>Shaw &amp; Yule</t>
  </si>
  <si>
    <t>Interpolated</t>
  </si>
  <si>
    <t>Depth check</t>
  </si>
  <si>
    <t>if gap &gt;15,&lt;=25</t>
  </si>
  <si>
    <t>gap</t>
  </si>
  <si>
    <t>Shaw&amp;Yule</t>
  </si>
  <si>
    <t>lookup</t>
  </si>
  <si>
    <t>Predictive Calculator</t>
  </si>
  <si>
    <t>Soil Water Parameters</t>
  </si>
  <si>
    <t>Plant Salt Tolerance</t>
  </si>
  <si>
    <t xml:space="preserve">Version Number </t>
  </si>
  <si>
    <t>INPUT WATER DATA</t>
  </si>
  <si>
    <t>Instructions</t>
  </si>
  <si>
    <t>Input</t>
  </si>
  <si>
    <t>CS</t>
  </si>
  <si>
    <t>FS</t>
  </si>
  <si>
    <t>Validation with field data</t>
  </si>
  <si>
    <t>Customise the Calculations</t>
  </si>
  <si>
    <t>INSTRUCTIONS</t>
  </si>
  <si>
    <t>Return to Front Page</t>
  </si>
  <si>
    <t>BACKGROUND &amp; THEORY</t>
  </si>
  <si>
    <t>LIMITATIONS AND DISCLAIMER</t>
  </si>
  <si>
    <t>SOIL WATER PARAMETERS</t>
  </si>
  <si>
    <t>ECs</t>
  </si>
  <si>
    <t>ECi</t>
  </si>
  <si>
    <t>Calculates soil leaching, rootzone salinity and sodicity, plant yield and deep drainage to groundwater</t>
  </si>
  <si>
    <t>Winter rainfall adjustment</t>
  </si>
  <si>
    <t>ABBREVIATIONS AND GLOSSARY</t>
  </si>
  <si>
    <t>Abbreviations and Glossary</t>
  </si>
  <si>
    <t>*</t>
  </si>
  <si>
    <t>General</t>
  </si>
  <si>
    <t>Process</t>
  </si>
  <si>
    <t>The calculator allows the use of a range of different units and measurements. Some missing data is acceptable provided the key variables can be estimated or interpolated.</t>
  </si>
  <si>
    <t>Abbreviation</t>
  </si>
  <si>
    <t>Unit</t>
  </si>
  <si>
    <t>Explanation</t>
  </si>
  <si>
    <t>Use</t>
  </si>
  <si>
    <t>kg/100kg</t>
  </si>
  <si>
    <r>
      <t>Air dry moisture content. The soil water content between soil dried at 40</t>
    </r>
    <r>
      <rPr>
        <vertAlign val="superscript"/>
        <sz val="11"/>
        <color rgb="FF000000"/>
        <rFont val="Calibri"/>
        <family val="2"/>
      </rPr>
      <t>o</t>
    </r>
    <r>
      <rPr>
        <sz val="11"/>
        <color rgb="FF000000"/>
        <rFont val="Calibri"/>
        <family val="2"/>
      </rPr>
      <t>C and 105</t>
    </r>
    <r>
      <rPr>
        <vertAlign val="superscript"/>
        <sz val="11"/>
        <color rgb="FF000000"/>
        <rFont val="Calibri"/>
        <family val="2"/>
      </rPr>
      <t>o</t>
    </r>
    <r>
      <rPr>
        <sz val="11"/>
        <color rgb="FF000000"/>
        <rFont val="Calibri"/>
        <family val="2"/>
      </rPr>
      <t>C.</t>
    </r>
  </si>
  <si>
    <r>
      <t>kg/m</t>
    </r>
    <r>
      <rPr>
        <vertAlign val="superscript"/>
        <sz val="11"/>
        <color rgb="FF000000"/>
        <rFont val="Calibri"/>
        <family val="2"/>
      </rPr>
      <t>3</t>
    </r>
  </si>
  <si>
    <t>Used in the calculation of plant available water capacity using the PAWCER model</t>
  </si>
  <si>
    <t>mm/yr</t>
  </si>
  <si>
    <t>The Dd under the irrigation rainfall regime</t>
  </si>
  <si>
    <t>Highly important as it is the response of the combination of soil properties on soil permeability and leaching under irrigation +  rainfall</t>
  </si>
  <si>
    <t>Ddi+r / Ddr</t>
  </si>
  <si>
    <t>Important as it is the response of the combination of soil properties on soil permeability and leaching</t>
  </si>
  <si>
    <t>Electrical conductivity of a water or soil solution</t>
  </si>
  <si>
    <t xml:space="preserve">Measure of salt content </t>
  </si>
  <si>
    <t>EC of irrigation water</t>
  </si>
  <si>
    <t>Determines plant and soil response to salt</t>
  </si>
  <si>
    <t>Weighted EC for input into soil of rainfall and irrigation. Particularly useful where supplemental irrigation to rainfall occurs which is most common situation</t>
  </si>
  <si>
    <t xml:space="preserve">ECse is the EC of the saturation extract of a soil  </t>
  </si>
  <si>
    <t>Most effective measures of soil salinity</t>
  </si>
  <si>
    <t xml:space="preserve">ECs of Ddi+r </t>
  </si>
  <si>
    <t>As for EC of Ddr except it also accounts for irrigation+ rainfall</t>
  </si>
  <si>
    <t>A reasonable estimate of the EC of water entering the groundwater and the concentration of salt in the unsaturated zone below the root zone under irrigation</t>
  </si>
  <si>
    <t xml:space="preserve">ECs of Ddr  </t>
  </si>
  <si>
    <t>The EC of the water draining below the root zone at the concentration of the soil solution when the soil profile is wet. It is about 2.2 times drier than soil saturation.</t>
  </si>
  <si>
    <t>A reasonable estimate of the EC of water entering the groundwater and the concentration of salt in the unsaturated zone below the root zone</t>
  </si>
  <si>
    <t xml:space="preserve">ECse of Ddi+r </t>
  </si>
  <si>
    <t>The EC of the water draining below the root zone at the concentration of a saturated soil. It is about 2.2 times more dilute than the water actually draining below a field wet soil.</t>
  </si>
  <si>
    <t>The more common measure of EC at soil saturation since the method is much easier than for ECs</t>
  </si>
  <si>
    <t>The ESP of the surface 10 cm of soil estimated from  the irrigation water SAR</t>
  </si>
  <si>
    <t>Indicates the likely soil dispersion and crusting properties of the soil, particularly under rainfall</t>
  </si>
  <si>
    <t>ESP 0.1m adj for Ca</t>
  </si>
  <si>
    <t>The most accurate method based on theoretical soil solution chemistry. Probably does need some validation.</t>
  </si>
  <si>
    <t>The soil ESP at 0.9 m estimated from the LF and SAR of the irrigation water.</t>
  </si>
  <si>
    <t>Irrigation changes the EC and also ESP of a soil based on the LF and SAR and EC of the water. This change in ESP at the bottom of the root zone (assumed to be 0.9m)  determines LF and hence root zone salinity etc.</t>
  </si>
  <si>
    <t>If a water has high RA or SAR, adjustment is necessary unless the soil is stable under the ECi+r as determined by the graphs in the Predictive calculator. Gypsum application may well be required in marginal situations and an estimate of the quantity required is important</t>
  </si>
  <si>
    <t>If a water has high RA or SAR, adjustment is necessary unless the soil is stable under the ECi+r as determined by the graphs in the Predictive calculator. Gypsum application may well be required in marginal situations and an estimate of the quantity required is important.</t>
  </si>
  <si>
    <t>LF under irrigation+ rainfall</t>
  </si>
  <si>
    <t>Determines root zone salinity and drainage below the root zone</t>
  </si>
  <si>
    <t>LF under rainfall</t>
  </si>
  <si>
    <t>The primary outcome of the soil property model that is used to predict the effect of irrigation on soil response both EC and sodicity</t>
  </si>
  <si>
    <t>Lower storage limit the minimum estimated field soil water content profile. See Wmin</t>
  </si>
  <si>
    <t>See Wmin</t>
  </si>
  <si>
    <t>Upper storage limit the maximum estimated field water content profile. See Wmax</t>
  </si>
  <si>
    <t>See Wmax</t>
  </si>
  <si>
    <t>Important for irrigation water management to minimise Dd and to optimise plant growth</t>
  </si>
  <si>
    <t xml:space="preserve">ECse of the root zone averaged over the depth of the root zone. </t>
  </si>
  <si>
    <t>Directly relates to plant salt tolerance information. The average is a more conservative estimation of plant yield response to EC than water uptake weighted (wuw).</t>
  </si>
  <si>
    <t>ECse of the root zone water uptake weighted by depth such that the top ¼of the root zone uses 40% of the available water, the next ¼ 30%, next ¼ 20% and last ¼ 10% following Shockley and Rhoades and others</t>
  </si>
  <si>
    <t xml:space="preserve">This estimate is more appropriate where there is an increasing gradient in EC with depth and /or there is more frequent irrigation so that the upper layers remain wet most of the time. </t>
  </si>
  <si>
    <t>Sodium adsorption ratio – the relative content of Na to Ca and Mg in a soil solution or water that approximates the ESP of a soil</t>
  </si>
  <si>
    <t>A good measure of the sodicity of a water or soil solution that affects soil behaviour and plant response</t>
  </si>
  <si>
    <t>SAR Ddi+r L&amp;S</t>
  </si>
  <si>
    <t>SAR Ddi+r Miy</t>
  </si>
  <si>
    <t xml:space="preserve">The SAR of the Dd under i+r determined by the method of Miyamoto (1980). It accounts for the effect of concentration of the soil solution using LF which affects SAR of Dd </t>
  </si>
  <si>
    <t>High SAR of Dd will influence the sodicity level of shallow groundwater. This estimate allows a comparison with the SAR of groundwater to determine the impact of irrigation in the local area.</t>
  </si>
  <si>
    <t>SARadj Ca</t>
  </si>
  <si>
    <t>SAR adjusted for the equilibrium value of Ca in solution based on the pCO2 following the method of Lesch and Suarez (2009).</t>
  </si>
  <si>
    <t>A more accurate estimate of the effect of Ca precipitation on SAR</t>
  </si>
  <si>
    <t>SARadj RA</t>
  </si>
  <si>
    <t>SAR adjusted for the RA to account for the precipitation of Ca. It assumes that only 50% of the Mg precipitates</t>
  </si>
  <si>
    <t>SP</t>
  </si>
  <si>
    <t>Saturation percentage – the soil water content at saturation usually determined on ground soil wet at 1 cm suction in the laboratory</t>
  </si>
  <si>
    <t>years</t>
  </si>
  <si>
    <t>The time to reach a new equilibrium salinity and exchangeable cation profile under irrigation depends on the soil clay content, CEC and relative quantity and EC of the irrigation water. Under supplemental irrigation, it may take in the order of 7 + years to reach an equilibrium.</t>
  </si>
  <si>
    <t>The maximum field water content measured in the field after soil wetting and allowing around 3 days for soil drainage. It is the water content that bulk density is calculated from. Also called upper storage limit USL</t>
  </si>
  <si>
    <t xml:space="preserve">The real field maximum water content accounting for soil depth and soil structure. Laboratory measured 33 kPa water contents on ground samples wet by saturation give artificially high results, particularly in subsoils where any soil structure is destroyed by grinding. Useful in determining plant available water capacity </t>
  </si>
  <si>
    <t>The field water content at which plants are stressed due to lack of water. Also called Lower Storage Limit LSL</t>
  </si>
  <si>
    <t>Wmin approximates the water content on 1500kPa samples in the laboratory on ground samples since the water content is less affected by soil structure change but more by small pores and surface area. It is a useful soil property that is closely related to other soil water properties. Wmin usually increased with depth due to soil overburden and structural effects particularly those due to sodicity.</t>
  </si>
  <si>
    <t>% yield</t>
  </si>
  <si>
    <t>Plant yield response to irrigation salinity in the root zone</t>
  </si>
  <si>
    <t>Standard yield response curves have been derived for many plants and the EC of the irrigation water, soil properties determining LF and quantity of irrigation water all determine plant yield. This yield is calculated based on the soil properties estimated.</t>
  </si>
  <si>
    <r>
      <t>This adjustment for LF and for CaCO</t>
    </r>
    <r>
      <rPr>
        <vertAlign val="subscript"/>
        <sz val="11"/>
        <color rgb="FF000000"/>
        <rFont val="Calibri"/>
        <family val="2"/>
      </rPr>
      <t>3</t>
    </r>
    <r>
      <rPr>
        <sz val="11"/>
        <color rgb="FF000000"/>
        <rFont val="Calibri"/>
        <family val="2"/>
      </rPr>
      <t xml:space="preserve"> precipitation usually increases the soil ESP and hence lowers the LF which in turn will increase root zone salinity. Knowledge of this change influences soil and irrigation management </t>
    </r>
  </si>
  <si>
    <r>
      <t>Accounts for the precipitation of CaCO</t>
    </r>
    <r>
      <rPr>
        <vertAlign val="subscript"/>
        <sz val="11"/>
        <color rgb="FF000000"/>
        <rFont val="Calibri"/>
        <family val="2"/>
      </rPr>
      <t xml:space="preserve">3 </t>
    </r>
    <r>
      <rPr>
        <sz val="11"/>
        <color rgb="FF000000"/>
        <rFont val="Calibri"/>
        <family val="2"/>
      </rPr>
      <t>which has very low solubility. It will give a higher estimate of GR and if the irrigation water has RA, soluble Ca from dissolution of gypsum will also occur resulting in a gradual reduction in the available soluble Ca. A more realistic estimate of GR of high HCO</t>
    </r>
    <r>
      <rPr>
        <vertAlign val="subscript"/>
        <sz val="11"/>
        <color rgb="FF000000"/>
        <rFont val="Calibri"/>
        <family val="2"/>
      </rPr>
      <t xml:space="preserve">3 </t>
    </r>
    <r>
      <rPr>
        <sz val="11"/>
        <color rgb="FF000000"/>
        <rFont val="Calibri"/>
        <family val="2"/>
      </rPr>
      <t>waters</t>
    </r>
  </si>
  <si>
    <r>
      <t>The SAR of the Dd under i+r determined by the method of Lesch &amp; Suarez (2009) and Suarez &amp; Jurinak (2012). It accounts for the effect of concentration of the soil solution using LF which affects SAR of Dd and also the precipitation of Ca under the pCO</t>
    </r>
    <r>
      <rPr>
        <vertAlign val="subscript"/>
        <sz val="11"/>
        <color rgb="FF000000"/>
        <rFont val="Calibri"/>
        <family val="2"/>
      </rPr>
      <t>2</t>
    </r>
    <r>
      <rPr>
        <sz val="11"/>
        <color rgb="FF000000"/>
        <rFont val="Calibri"/>
        <family val="2"/>
      </rPr>
      <t xml:space="preserve"> at the bottom of the root zone</t>
    </r>
  </si>
  <si>
    <t>Figure 1 shows the soil stability line for the most sensitive soil (red line) and the least sensitive soil (blue line) as described in the caption to the figure.</t>
  </si>
  <si>
    <t>Table of published plant salt tolerance data and specific ion toxicity</t>
  </si>
  <si>
    <r>
      <rPr>
        <b/>
        <sz val="11"/>
        <color theme="1"/>
        <rFont val="Calibri"/>
        <family val="2"/>
        <scheme val="minor"/>
      </rPr>
      <t>Inputs:</t>
    </r>
    <r>
      <rPr>
        <sz val="11"/>
        <color theme="1"/>
        <rFont val="Calibri"/>
        <family val="2"/>
        <scheme val="minor"/>
      </rPr>
      <t xml:space="preserve"> additional soil properties as required</t>
    </r>
  </si>
  <si>
    <r>
      <rPr>
        <b/>
        <sz val="11"/>
        <color theme="1"/>
        <rFont val="Calibri"/>
        <family val="2"/>
        <scheme val="minor"/>
      </rPr>
      <t>Inputs:</t>
    </r>
    <r>
      <rPr>
        <sz val="11"/>
        <color theme="1"/>
        <rFont val="Calibri"/>
        <family val="2"/>
        <scheme val="minor"/>
      </rPr>
      <t xml:space="preserve"> as already entered</t>
    </r>
  </si>
  <si>
    <t>ANZECC guideline values</t>
  </si>
  <si>
    <t>Click on the Data Test cell for more information</t>
  </si>
  <si>
    <t>Graphs</t>
  </si>
  <si>
    <t>Graph for Quick Calculator - site points with correction for overlimit values</t>
  </si>
  <si>
    <t>ESP 0.9m adj i+r</t>
  </si>
  <si>
    <t>SALF2</t>
  </si>
  <si>
    <t>The water data in this section is copied over from the Quick Calculator based on the profile chosen on the left (green shaded boxes).</t>
  </si>
  <si>
    <t xml:space="preserve">Irrigation Water Quality </t>
  </si>
  <si>
    <t>(choose input unit where cell is red)</t>
  </si>
  <si>
    <t>Equivalent ESP 0-0.1m for SAR</t>
  </si>
  <si>
    <t xml:space="preserve">Equivalent ESP 0-0.1m SARadjCa </t>
  </si>
  <si>
    <t xml:space="preserve">If the water sample symbol and description is shown to the right of the red line, the soil structure will be stable under irrigation. If the water falls between the 2 lines the soil stability will depend on the soil properties and the PREDICTIVE CALCULATOR is required using the specific soil properties. </t>
  </si>
  <si>
    <r>
      <t xml:space="preserve">This software is copyright © by Roger Shaw and Joanna Kitchen and is licenced under the Creative Commons Attribution 3.0 Australia License. To view a copy of this license, visit </t>
    </r>
    <r>
      <rPr>
        <sz val="11"/>
        <color rgb="FF0000FF"/>
        <rFont val="Arial"/>
        <family val="2"/>
      </rPr>
      <t>http://creativecommons.org/licenses/by/3.0/au/</t>
    </r>
    <r>
      <rPr>
        <sz val="11"/>
        <color rgb="FF000000"/>
        <rFont val="Arial"/>
        <family val="2"/>
      </rPr>
      <t xml:space="preserve">. </t>
    </r>
  </si>
  <si>
    <t>Mixing Irrigation Water Sources</t>
  </si>
  <si>
    <t>Optimises the proportions of different irrigation water sources to meet nominated water quality and plant yield outcomes.</t>
  </si>
  <si>
    <t>MIXING IRRIGATION WATER SOURCES</t>
  </si>
  <si>
    <t>Drop down list for Irrigation Scenarios</t>
  </si>
  <si>
    <t>Choose plant yield %</t>
  </si>
  <si>
    <t>Dd an issue?</t>
  </si>
  <si>
    <t>Ecse from plant</t>
  </si>
  <si>
    <t>Max Eci</t>
  </si>
  <si>
    <t>Di</t>
  </si>
  <si>
    <t>Ecmix</t>
  </si>
  <si>
    <t>Mixing quantites (mm/ha/yr)</t>
  </si>
  <si>
    <t>Upper limit (mm/yr) if limits  (1ML=100 mm/ha)</t>
  </si>
  <si>
    <t>Minimum appln (mm/yr)</t>
  </si>
  <si>
    <t>Annual rainfall (mm)  Dr</t>
  </si>
  <si>
    <t>Annual irrigation + rainfall (mm) Di+r</t>
  </si>
  <si>
    <t>From PST threshold A (dS/m)</t>
  </si>
  <si>
    <t>From PST yield decrease B (%/dS/m)</t>
  </si>
  <si>
    <t>ECse av for plant at nominated yield %</t>
  </si>
  <si>
    <t>Dd (mm/yr) for LF=0.15</t>
  </si>
  <si>
    <t>Dd (mm/yr) for LF=0.1</t>
  </si>
  <si>
    <t>Dd (mm/yr) for LF=0.2</t>
  </si>
  <si>
    <t>EC imix</t>
  </si>
  <si>
    <t>SAR mix</t>
  </si>
  <si>
    <t>LF 0.1</t>
  </si>
  <si>
    <t>LF 0.2</t>
  </si>
  <si>
    <t>LF 0.15</t>
  </si>
  <si>
    <t>Initial Estimate of Water Quantity (mm/ha/yr) (1ML=100mm/ha)</t>
  </si>
  <si>
    <t>Default 90%</t>
  </si>
  <si>
    <t xml:space="preserve">Plant type </t>
  </si>
  <si>
    <t>Default 5</t>
  </si>
  <si>
    <t>Gypsum addn (t/ha/yr)</t>
  </si>
  <si>
    <t>Plant yield % for mixed water</t>
  </si>
  <si>
    <t>Max Eci based on LF chosen for Solver to source</t>
  </si>
  <si>
    <t>SAR based on mix chosen for Solver to source</t>
  </si>
  <si>
    <t>SAR adj Ca step 2</t>
  </si>
  <si>
    <t>end step 2</t>
  </si>
  <si>
    <t>Step 3 HCO3</t>
  </si>
  <si>
    <t>Step 3 done</t>
  </si>
  <si>
    <t>Ca equiv</t>
  </si>
  <si>
    <t>Gypsum requirement (t/ha/yr) SAR</t>
  </si>
  <si>
    <t>Gypsum requirement (t/ha/yr) SAR adj Ca</t>
  </si>
  <si>
    <t>Gypsum SAR</t>
  </si>
  <si>
    <t>Na^2</t>
  </si>
  <si>
    <t>SAR^2 * mg</t>
  </si>
  <si>
    <t>SAR ^2</t>
  </si>
  <si>
    <t>na/SAR</t>
  </si>
  <si>
    <t>Water source selection</t>
  </si>
  <si>
    <t>Site ref</t>
  </si>
  <si>
    <t>3 sites</t>
  </si>
  <si>
    <t>Max ECi for plant yield</t>
  </si>
  <si>
    <t>Average annual (mm)</t>
  </si>
  <si>
    <t>Irrigation application</t>
  </si>
  <si>
    <t>Mixing Conditions</t>
  </si>
  <si>
    <t>Legend:</t>
  </si>
  <si>
    <t>is the column number referred to in the step instructions</t>
  </si>
  <si>
    <t>refer to cells that require user input</t>
  </si>
  <si>
    <t>inc rain</t>
  </si>
  <si>
    <t>(kg/100kg)</t>
  </si>
  <si>
    <t>ADMC has useful predictive properties for many calculated soil water contents. It is important that the definition is followed and not the difference between the sampled water content and oven dry water content</t>
  </si>
  <si>
    <t xml:space="preserve">Bulk density of the soil. For cracking clay soils that swell and shrink, the BD is best determined at the Wmax water content. </t>
  </si>
  <si>
    <t>Used to determine plant available water capacity as a volume of water. It is also useful as an index of soil porosity and required for some calculations. The calculation accounts for different soil clay contents</t>
  </si>
  <si>
    <t>Coarse sand - 2 to 0.2 mm particle size</t>
  </si>
  <si>
    <t>Fine sand - 0.2 to 0.02 mm particle size</t>
  </si>
  <si>
    <t>Dd</t>
  </si>
  <si>
    <t>The quantity of water moving below the root zone which becomes recharge to the groundwater with potential for groundwater rise. The porosity of the unsaturated zone is between 5 and 10% so that 100 mm Dd can translate to a 1 m rise in watertable if there is very limited groundwater flow away from the irrigated area</t>
  </si>
  <si>
    <t>The ratio of the increase in Dd under irrigation</t>
  </si>
  <si>
    <t>This reflects the increase due to increased water application on the soil and the impact of higher EC resulting in soil flocculation and increased permeability balanced by changes to soil ESP</t>
  </si>
  <si>
    <t xml:space="preserve">The quantity of water draining below the root zone under rainfall </t>
  </si>
  <si>
    <t>EC of a mix of irrigation water sources based on proportional depth of water applied</t>
  </si>
  <si>
    <t>EC of irrigation water and rainfall mixed in the ratio of annual depth of each</t>
  </si>
  <si>
    <t>ECs &amp; ECse</t>
  </si>
  <si>
    <t>The EC of a soil solution at field maximum water content (approximating Wmax) called ECs.</t>
  </si>
  <si>
    <t>Gives an estimate of the EC of the water moving below the root zone under irrigation. It may pick up addition al salt form the unsaturated zone and allows a comparison with EC of the groundwater which  will be influenced by irrigation</t>
  </si>
  <si>
    <t>Gives an estimate of the EC of the water moving below the root zone under rainfall alone. It may pick up addition al salt form the unsaturated zone and allows a comparison with EC of the groundwater which  will be influenced by irrigation</t>
  </si>
  <si>
    <t>Exchangeable sodium percentage – the proportion of Na on the clay as a proportion of total cation exchange capacity</t>
  </si>
  <si>
    <t>The main determinant of soil surface dispersion and crusting along with EC. An index of soil stability and soil hydraulic conductivity</t>
  </si>
  <si>
    <t>The ESP of the surface 10 cm of soil estimated from  the irrigation water SAR adjusted to account for solubility of Ca using the method of Lesch &amp; Suarez (2009)</t>
  </si>
  <si>
    <t xml:space="preserve">The ESP of the surface 10 cm of soil estimated from the irrigation water SAR which has been adjusted for the precipitation of Ca and hence relative increase in Na using the RA value. The calculation assumes that only 50% of Mg precipitates </t>
  </si>
  <si>
    <r>
      <t>The soil ESP at 0.9 m estimated from the LF and SAR of the irrigation water. The SAR of the irrigation water is adjusted to account for the PCO</t>
    </r>
    <r>
      <rPr>
        <vertAlign val="subscript"/>
        <sz val="11"/>
        <color rgb="FF000000"/>
        <rFont val="Calibri"/>
        <family val="2"/>
      </rPr>
      <t>2</t>
    </r>
    <r>
      <rPr>
        <sz val="11"/>
        <color rgb="FF000000"/>
        <rFont val="Calibri"/>
        <family val="2"/>
      </rPr>
      <t xml:space="preserve"> at the bottom on the root zone and hence the solubility of CaCO­</t>
    </r>
    <r>
      <rPr>
        <vertAlign val="subscript"/>
        <sz val="11"/>
        <color rgb="FF000000"/>
        <rFont val="Calibri"/>
        <family val="2"/>
      </rPr>
      <t xml:space="preserve">3 </t>
    </r>
    <r>
      <rPr>
        <sz val="11"/>
        <color rgb="FF000000"/>
        <rFont val="Calibri"/>
        <family val="2"/>
      </rPr>
      <t xml:space="preserve">using Lesch &amp; Suarez (2009).  </t>
    </r>
  </si>
  <si>
    <t xml:space="preserve">tonnes/ha/ surface 0.1m </t>
  </si>
  <si>
    <t>tonnes/ha/ surface 0.1m</t>
  </si>
  <si>
    <t>As above by the method of Oster (1994) but using the adjustment for Ca precipitation of Lesch &amp; Suarez (2009)</t>
  </si>
  <si>
    <r>
      <t>Accounts for the precipitation of CaCO</t>
    </r>
    <r>
      <rPr>
        <vertAlign val="subscript"/>
        <sz val="11"/>
        <color rgb="FF000000"/>
        <rFont val="Calibri"/>
        <family val="2"/>
      </rPr>
      <t xml:space="preserve">3 </t>
    </r>
    <r>
      <rPr>
        <sz val="11"/>
        <color rgb="FF000000"/>
        <rFont val="Calibri"/>
        <family val="2"/>
      </rPr>
      <t>which has very low solubility. It will give a higher estimate of GR and if the irrigation water has RA. Precipitation of soluble Ca from dissolution of gypsum will also occur resulting in a gradual reduction in the available soluble Ca. This is a  more realistic estimate of GR for high HCO</t>
    </r>
    <r>
      <rPr>
        <vertAlign val="subscript"/>
        <sz val="11"/>
        <color rgb="FF000000"/>
        <rFont val="Calibri"/>
        <family val="2"/>
      </rPr>
      <t xml:space="preserve">3 </t>
    </r>
    <r>
      <rPr>
        <sz val="11"/>
        <color rgb="FF000000"/>
        <rFont val="Calibri"/>
        <family val="2"/>
      </rPr>
      <t>waters</t>
    </r>
  </si>
  <si>
    <t>Leaching fraction – the fraction of the applied water (irrigation + rainfall) that moves below the root zone depth, nominally 0.9 m</t>
  </si>
  <si>
    <t>A major determinant of the salt buildup in the soil root zone and also the likely increase in soil ESP at the bottom of the root zone. A high LF means greater recharge to the groundwater</t>
  </si>
  <si>
    <t xml:space="preserve">% </t>
  </si>
  <si>
    <t>cm/0.1m or cumulative RZ depth</t>
  </si>
  <si>
    <t>Plant available water capacity. The quantity of water available to the plant between the field maximum and field minimum water contents for a measured or selected rooting depth</t>
  </si>
  <si>
    <r>
      <t>P</t>
    </r>
    <r>
      <rPr>
        <vertAlign val="subscript"/>
        <sz val="11"/>
        <color rgb="FF000000"/>
        <rFont val="Calibri"/>
        <family val="2"/>
      </rPr>
      <t>CO2</t>
    </r>
  </si>
  <si>
    <t>atmospheres</t>
  </si>
  <si>
    <r>
      <t>Partial pressure of CO</t>
    </r>
    <r>
      <rPr>
        <vertAlign val="subscript"/>
        <sz val="11"/>
        <color rgb="FF000000"/>
        <rFont val="Calibri"/>
        <family val="2"/>
      </rPr>
      <t xml:space="preserve">2 </t>
    </r>
    <r>
      <rPr>
        <sz val="11"/>
        <color rgb="FF000000"/>
        <rFont val="Calibri"/>
        <family val="2"/>
      </rPr>
      <t>in the soil. Value used is 0.0007 atm (0.071 kPa) for surface soil and 0.001 (0.101 kPa) for subsoils of soils with clay content &lt; 40% and 0.005 (0.507 kPa) for soils with clay content ≥ 40% Lesch &amp; Suarez (2009) and Suarez &amp; Jurinak (2012)</t>
    </r>
  </si>
  <si>
    <r>
      <t>The partial pressure of CO</t>
    </r>
    <r>
      <rPr>
        <vertAlign val="subscript"/>
        <sz val="11"/>
        <color rgb="FF000000"/>
        <rFont val="Calibri"/>
        <family val="2"/>
      </rPr>
      <t>2</t>
    </r>
    <r>
      <rPr>
        <sz val="11"/>
        <color rgb="FF000000"/>
        <rFont val="Calibri"/>
        <family val="2"/>
      </rPr>
      <t xml:space="preserve"> has a significant effect on the solubility of CaCO</t>
    </r>
    <r>
      <rPr>
        <vertAlign val="subscript"/>
        <sz val="11"/>
        <color rgb="FF000000"/>
        <rFont val="Calibri"/>
        <family val="2"/>
      </rPr>
      <t>3</t>
    </r>
    <r>
      <rPr>
        <sz val="11"/>
        <color rgb="FF000000"/>
        <rFont val="Calibri"/>
        <family val="2"/>
      </rPr>
      <t xml:space="preserve"> in soil</t>
    </r>
  </si>
  <si>
    <r>
      <t>Enhances the effect of Na since HCO</t>
    </r>
    <r>
      <rPr>
        <vertAlign val="subscript"/>
        <sz val="11"/>
        <color rgb="FF000000"/>
        <rFont val="Calibri"/>
        <family val="2"/>
      </rPr>
      <t>3</t>
    </r>
    <r>
      <rPr>
        <sz val="11"/>
        <color rgb="FF000000"/>
        <rFont val="Calibri"/>
        <family val="2"/>
      </rPr>
      <t xml:space="preserve"> precipitates Ca as CaCO</t>
    </r>
    <r>
      <rPr>
        <vertAlign val="subscript"/>
        <sz val="11"/>
        <color rgb="FF000000"/>
        <rFont val="Calibri"/>
        <family val="2"/>
      </rPr>
      <t>3</t>
    </r>
    <r>
      <rPr>
        <sz val="11"/>
        <color rgb="FF000000"/>
        <rFont val="Calibri"/>
        <family val="2"/>
      </rPr>
      <t>. Will result in increased soil pH sometimes to  &gt; 9.0</t>
    </r>
  </si>
  <si>
    <t>As above. Probably a more accurate method although validation is needed. This estimate allows a comparison with the SAR of groundwater to determine the impact of irrigation in the local area.</t>
  </si>
  <si>
    <t>SAR i mix</t>
  </si>
  <si>
    <t>SAR can be directly related to soil dispersion and soil stability and Dd</t>
  </si>
  <si>
    <t>SAR adj Ca i mix</t>
  </si>
  <si>
    <r>
      <t>SAR can be directly related to soil dispersion and soil stability and Dd. Allowing for the precipitation of Ca as CaCO</t>
    </r>
    <r>
      <rPr>
        <vertAlign val="subscript"/>
        <sz val="11"/>
        <color rgb="FF000000"/>
        <rFont val="Calibri"/>
        <family val="2"/>
      </rPr>
      <t>3</t>
    </r>
    <r>
      <rPr>
        <sz val="11"/>
        <color rgb="FF000000"/>
        <rFont val="Calibri"/>
        <family val="2"/>
      </rPr>
      <t xml:space="preserve"> gives a more realistic estimate of ‘actual SAR’</t>
    </r>
  </si>
  <si>
    <t>It is the water content commonly used in ECse. Sometimes a mixed soil paste is used until the paste glistens. SP water content  overcomes many of the issues with fixed soil water ratios that are more dilute particularly in more sandy soils</t>
  </si>
  <si>
    <t>Upper storage limit the maximum estimated field water content profile. See Wmax and LSL</t>
  </si>
  <si>
    <t>See Wmax and LSL</t>
  </si>
  <si>
    <r>
      <rPr>
        <b/>
        <sz val="11"/>
        <color theme="1"/>
        <rFont val="Calibri"/>
        <family val="2"/>
        <scheme val="minor"/>
      </rPr>
      <t>Inputs:</t>
    </r>
    <r>
      <rPr>
        <sz val="11"/>
        <color theme="1"/>
        <rFont val="Calibri"/>
        <family val="2"/>
        <scheme val="minor"/>
      </rPr>
      <t xml:space="preserve"> water composition, rainfall and irrigation amounts</t>
    </r>
  </si>
  <si>
    <r>
      <rPr>
        <b/>
        <sz val="11"/>
        <color theme="1"/>
        <rFont val="Calibri"/>
        <family val="2"/>
        <scheme val="minor"/>
      </rPr>
      <t>Inputs:</t>
    </r>
    <r>
      <rPr>
        <sz val="11"/>
        <color theme="1"/>
        <rFont val="Calibri"/>
        <family val="2"/>
        <scheme val="minor"/>
      </rPr>
      <t xml:space="preserve"> soil properties plus water composition from Quick Calculator, plant of interest</t>
    </r>
  </si>
  <si>
    <t>Calculates field estimates of soil water properties, bulk density and plant available water capacity</t>
  </si>
  <si>
    <t>SALF2 is a decision support tool to assist in evaluating the impacts of irrigation on plants and soils and to calculate soil and water parameters of importance to soil and irrigation management.</t>
  </si>
  <si>
    <r>
      <rPr>
        <b/>
        <sz val="11"/>
        <color theme="1"/>
        <rFont val="Calibri"/>
        <family val="2"/>
        <scheme val="minor"/>
      </rPr>
      <t>Inputs:</t>
    </r>
    <r>
      <rPr>
        <sz val="11"/>
        <color theme="1"/>
        <rFont val="Calibri"/>
        <family val="2"/>
        <scheme val="minor"/>
      </rPr>
      <t xml:space="preserve"> local results for comparison with calculator outputs is not implemented yet</t>
    </r>
  </si>
  <si>
    <t xml:space="preserve">Calculates mixing of available water supplies to manage salinity and sodicity </t>
  </si>
  <si>
    <t>Conditions of Use (see below)</t>
  </si>
  <si>
    <t xml:space="preserve">the model predictions in SALF2. This is not only important, it is brief and to the point. </t>
  </si>
  <si>
    <t>salf2calculator@gmail.com</t>
  </si>
  <si>
    <t>Depth (m)</t>
  </si>
  <si>
    <t>Full profile to 0.9m</t>
  </si>
  <si>
    <t>Top 0.3m</t>
  </si>
  <si>
    <t>Top 0.1m</t>
  </si>
  <si>
    <t>ADMC (kg/100kg) calculated from</t>
  </si>
  <si>
    <t>SP (kg/100kg) from</t>
  </si>
  <si>
    <t>Wmax (kg/100kg) from</t>
  </si>
  <si>
    <t>Published literature as given in the section Background and Theory</t>
  </si>
  <si>
    <t>Capability to assess irrigation waters with high sodium bicarbonate and sodicity.</t>
  </si>
  <si>
    <t>An iterative procedure to account for change in soil root zone ESP with irrigation and hence consequent change in leaching fraction under irrigation (still in progress).</t>
  </si>
  <si>
    <t>Estimates of gypsum amendment that may be required for sustainable irrigation with marginal quality waters.</t>
  </si>
  <si>
    <t>The optimal mixing ratio of different irrigation water sources to meet user defined requirements.</t>
  </si>
  <si>
    <t>Estimate of the time for the root zone to come to an EC equilibrium with irrigation (still in progress).</t>
  </si>
  <si>
    <t>Estimates of field soil water related properties.</t>
  </si>
  <si>
    <t>In some cases more than one method is used to estimate results. A convergent approach is recommended because of variability and uncertainty.</t>
  </si>
  <si>
    <t>Comments and enquiries to:</t>
  </si>
  <si>
    <t>conversion</t>
  </si>
  <si>
    <t>Minimise Dd = LF 0.1</t>
  </si>
  <si>
    <t>Average Dd = LF 0.15</t>
  </si>
  <si>
    <t>High Dd = LF 0.2</t>
  </si>
  <si>
    <t>Minimise Dd (choose from dropdown list)</t>
  </si>
  <si>
    <t>SAR adj Ca mix</t>
  </si>
  <si>
    <t>check site</t>
  </si>
  <si>
    <t>rain</t>
  </si>
  <si>
    <t xml:space="preserve">Default SAR </t>
  </si>
  <si>
    <t>Default Average Dd = LF 0.15</t>
  </si>
  <si>
    <t>values that other calculations must match</t>
  </si>
  <si>
    <t>Water chemical analysis</t>
  </si>
  <si>
    <t>Salinity management handbook for Queensland, Ist Edition 1997, second Edition 2011 (https://publications.qld.gov.au/dataset/salinity-management-handbook)</t>
  </si>
  <si>
    <t>Salinity and sodicity aspects are consistent with the following guidelines:</t>
  </si>
  <si>
    <t>Printed on</t>
  </si>
  <si>
    <t>Profile 2 Results</t>
  </si>
  <si>
    <t>Profile 3 Results</t>
  </si>
  <si>
    <t>Plant type</t>
  </si>
  <si>
    <t>cmolc/kg</t>
  </si>
  <si>
    <t>Calculates irrigation water quality and suitability but does not account for rainfall</t>
  </si>
  <si>
    <t xml:space="preserve">RESULTS </t>
  </si>
  <si>
    <t xml:space="preserve">SODICITY ASSESSMENT </t>
  </si>
  <si>
    <t>Figure 1 shows the expected soil surface stability for combinations of EC and SAR of the irrigation waters in the input data section.</t>
  </si>
  <si>
    <t>Calculates soil leaching, rootzone salinity and sodicity, plant yield, deep drainage to groundwater and gypsum requirement for soil surface stability</t>
  </si>
  <si>
    <t>LF/depth</t>
  </si>
  <si>
    <t>Link to Abbreviations and Glossary</t>
  </si>
  <si>
    <t>Various units for water analyses are accepted, click on the red/orange boxes for a drop down list.</t>
  </si>
  <si>
    <t>STEPS</t>
  </si>
  <si>
    <r>
      <t xml:space="preserve">ECse av RZ </t>
    </r>
    <r>
      <rPr>
        <i/>
        <sz val="12"/>
        <color theme="1"/>
        <rFont val="Calibri"/>
        <family val="2"/>
        <scheme val="minor"/>
      </rPr>
      <t>(dS/m)</t>
    </r>
  </si>
  <si>
    <r>
      <t xml:space="preserve">ECse wuw RZ </t>
    </r>
    <r>
      <rPr>
        <i/>
        <sz val="12"/>
        <color theme="1"/>
        <rFont val="Calibri"/>
        <family val="2"/>
        <scheme val="minor"/>
      </rPr>
      <t>(dS/m)</t>
    </r>
  </si>
  <si>
    <t xml:space="preserve">SAR Ddi+r </t>
  </si>
  <si>
    <t>ESP 0.9m i+r adj Ca</t>
  </si>
  <si>
    <t>Plant yield %</t>
  </si>
  <si>
    <r>
      <t xml:space="preserve">ECs of Ddr </t>
    </r>
    <r>
      <rPr>
        <i/>
        <sz val="12"/>
        <color theme="1"/>
        <rFont val="Calibri"/>
        <family val="2"/>
        <scheme val="minor"/>
      </rPr>
      <t>(dS/m)</t>
    </r>
  </si>
  <si>
    <r>
      <t xml:space="preserve">ECs  of Ddi+r </t>
    </r>
    <r>
      <rPr>
        <i/>
        <sz val="12"/>
        <color theme="1"/>
        <rFont val="Calibri"/>
        <family val="2"/>
        <scheme val="minor"/>
      </rPr>
      <t>(dS/m)</t>
    </r>
  </si>
  <si>
    <r>
      <t xml:space="preserve">ECse of Ddi+r </t>
    </r>
    <r>
      <rPr>
        <i/>
        <sz val="12"/>
        <color theme="1"/>
        <rFont val="Calibri"/>
        <family val="2"/>
        <scheme val="minor"/>
      </rPr>
      <t>(dS/m)</t>
    </r>
  </si>
  <si>
    <r>
      <t xml:space="preserve">Ddi+r </t>
    </r>
    <r>
      <rPr>
        <i/>
        <sz val="12"/>
        <color theme="1"/>
        <rFont val="Calibri"/>
        <family val="2"/>
        <scheme val="minor"/>
      </rPr>
      <t>(mm/yr)</t>
    </r>
  </si>
  <si>
    <r>
      <t xml:space="preserve">GR SMH </t>
    </r>
    <r>
      <rPr>
        <i/>
        <sz val="12"/>
        <color theme="1"/>
        <rFont val="Calibri"/>
        <family val="2"/>
        <scheme val="minor"/>
      </rPr>
      <t>(t/ha/yr)</t>
    </r>
  </si>
  <si>
    <r>
      <t xml:space="preserve">GR Oster </t>
    </r>
    <r>
      <rPr>
        <i/>
        <sz val="12"/>
        <color theme="1"/>
        <rFont val="Calibri"/>
        <family val="2"/>
        <scheme val="minor"/>
      </rPr>
      <t>(t/ha/yr)</t>
    </r>
  </si>
  <si>
    <r>
      <t>GR SMH ESPadjCa</t>
    </r>
    <r>
      <rPr>
        <i/>
        <sz val="12"/>
        <color theme="1"/>
        <rFont val="Calibri"/>
        <family val="2"/>
        <scheme val="minor"/>
      </rPr>
      <t xml:space="preserve"> (t/ha/yr)</t>
    </r>
  </si>
  <si>
    <r>
      <t xml:space="preserve">GR Oster ESPadjCa </t>
    </r>
    <r>
      <rPr>
        <i/>
        <sz val="12"/>
        <color theme="1"/>
        <rFont val="Calibri"/>
        <family val="2"/>
        <scheme val="minor"/>
      </rPr>
      <t>(t/ha/yr)</t>
    </r>
  </si>
  <si>
    <r>
      <t xml:space="preserve">ESP 0.1m </t>
    </r>
    <r>
      <rPr>
        <i/>
        <sz val="12"/>
        <color theme="1"/>
        <rFont val="Calibri"/>
        <family val="2"/>
        <scheme val="minor"/>
      </rPr>
      <t>(%)</t>
    </r>
  </si>
  <si>
    <r>
      <t xml:space="preserve">ESP 0.1m adj Ca </t>
    </r>
    <r>
      <rPr>
        <i/>
        <sz val="12"/>
        <color theme="1"/>
        <rFont val="Calibri"/>
        <family val="2"/>
        <scheme val="minor"/>
      </rPr>
      <t>(%)</t>
    </r>
  </si>
  <si>
    <r>
      <t xml:space="preserve">Av clay </t>
    </r>
    <r>
      <rPr>
        <i/>
        <sz val="12"/>
        <color theme="1"/>
        <rFont val="Calibri"/>
        <family val="2"/>
        <scheme val="minor"/>
      </rPr>
      <t>(%)</t>
    </r>
    <r>
      <rPr>
        <sz val="12"/>
        <color theme="1"/>
        <rFont val="Calibri"/>
        <family val="2"/>
        <scheme val="minor"/>
      </rPr>
      <t xml:space="preserve"> </t>
    </r>
  </si>
  <si>
    <t>Water analysis and rainfall are copied from QUICK CALCULATOR</t>
  </si>
  <si>
    <t>ESP           0-0.1m</t>
  </si>
  <si>
    <t>The same soil properties in the PREDICTIVE CALCULATOR are copied to this calculator. If the properties have not been entered into the PREDICTIVE CALCULATOR go to that page and enter the data.</t>
  </si>
  <si>
    <t>Steps</t>
  </si>
  <si>
    <t>RESULTS</t>
  </si>
  <si>
    <t>A convergent approach is used to estimate field soil water parameters from various input soil properties. Variation in results from the different surrogate properties is expected due to the range of soils the algorithms were derived from and the soil measurement techniques used. Choose the values considered most realistic or accept the average values.</t>
  </si>
  <si>
    <t>Adaptive management, that is, plan, do, check, review, is mandatory in evaluating the progress of irrigation management since soil and climate variability and impacts on groundwater are determined by local conditions which are not necessarily accounted for in SALF2.</t>
  </si>
  <si>
    <r>
      <t xml:space="preserve">You will need to be familiar with the meaning of terms and units and these are explained in the </t>
    </r>
    <r>
      <rPr>
        <b/>
        <sz val="12"/>
        <color theme="1"/>
        <rFont val="Calibri"/>
        <family val="2"/>
        <scheme val="minor"/>
      </rPr>
      <t>Abbreviations and Glossary</t>
    </r>
    <r>
      <rPr>
        <sz val="12"/>
        <color theme="1"/>
        <rFont val="Calibri"/>
        <family val="2"/>
        <scheme val="minor"/>
      </rPr>
      <t>. This section is worth reading anyway since there are many abbreviations and local usage of terms may be different from what is used SALF2.</t>
    </r>
  </si>
  <si>
    <r>
      <t xml:space="preserve">If you want to validate the model predictions against local field data for previously irrigated areas, you can enter the field data for comparison in </t>
    </r>
    <r>
      <rPr>
        <b/>
        <sz val="12"/>
        <color theme="1"/>
        <rFont val="Calibri"/>
        <family val="2"/>
        <scheme val="minor"/>
      </rPr>
      <t>VALIDATION WITH FIELD DATA</t>
    </r>
    <r>
      <rPr>
        <sz val="12"/>
        <color theme="1"/>
        <rFont val="Calibri"/>
        <family val="2"/>
        <scheme val="minor"/>
      </rPr>
      <t>. This has not been implemented yet and will depend on user interest and requirements.</t>
    </r>
  </si>
  <si>
    <r>
      <t xml:space="preserve">You can customise for some local situations and add additional information on plant salt tolerance and other aspects in </t>
    </r>
    <r>
      <rPr>
        <b/>
        <sz val="12"/>
        <color theme="1"/>
        <rFont val="Calibri"/>
        <family val="2"/>
        <scheme val="minor"/>
      </rPr>
      <t>CUSTOMISE THE CALCULATIONS</t>
    </r>
    <r>
      <rPr>
        <sz val="12"/>
        <color theme="1"/>
        <rFont val="Calibri"/>
        <family val="2"/>
        <scheme val="minor"/>
      </rPr>
      <t>. This has not been implemented yet.</t>
    </r>
  </si>
  <si>
    <r>
      <t xml:space="preserve">To check the plant yield response of a range of plants to salinity, go to </t>
    </r>
    <r>
      <rPr>
        <b/>
        <sz val="12"/>
        <color theme="1"/>
        <rFont val="Calibri"/>
        <family val="2"/>
        <scheme val="minor"/>
      </rPr>
      <t>PLANT SALT TOLERANCE</t>
    </r>
    <r>
      <rPr>
        <sz val="12"/>
        <color theme="1"/>
        <rFont val="Calibri"/>
        <family val="2"/>
        <scheme val="minor"/>
      </rPr>
      <t>.</t>
    </r>
  </si>
  <si>
    <r>
      <t xml:space="preserve">Please read the </t>
    </r>
    <r>
      <rPr>
        <b/>
        <sz val="12"/>
        <color theme="1"/>
        <rFont val="Calibri"/>
        <family val="2"/>
        <scheme val="minor"/>
      </rPr>
      <t>Limitations, disclaimer and copyright</t>
    </r>
    <r>
      <rPr>
        <sz val="12"/>
        <color theme="1"/>
        <rFont val="Calibri"/>
        <family val="2"/>
        <scheme val="minor"/>
      </rPr>
      <t xml:space="preserve"> before proceeding.</t>
    </r>
  </si>
  <si>
    <t>Release Notes</t>
  </si>
  <si>
    <t>Optimisation of mixing ratio of irrigation water sources to meet user requirements</t>
  </si>
  <si>
    <r>
      <t>·</t>
    </r>
    <r>
      <rPr>
        <sz val="7"/>
        <color theme="1"/>
        <rFont val="Times New Roman"/>
        <family val="1"/>
      </rPr>
      <t xml:space="preserve">         </t>
    </r>
  </si>
  <si>
    <t>Gypsum application required for marginal quality waters added</t>
  </si>
  <si>
    <t>Version 0.1 proforma 19 August 2014</t>
  </si>
  <si>
    <t>Added lower and higher LF values than the default 0.15 used in ANZECC</t>
  </si>
  <si>
    <t xml:space="preserve">A convergence approach adopted where more than one algorithm is used to seek a convergent result outcome </t>
  </si>
  <si>
    <t>Simple irrigation water quality assessment as well as predictive LF and root zone salinity retained</t>
  </si>
  <si>
    <t>Partial iterative process to evaluate change in LF and bottom of root zone ESP with irrigation added</t>
  </si>
  <si>
    <t>Calculation of field soil water parameters added</t>
  </si>
  <si>
    <t>Possible future additions</t>
  </si>
  <si>
    <t>Choose units for output of results</t>
  </si>
  <si>
    <t>Option to change parameters for local application of SALF2</t>
  </si>
  <si>
    <t>Option to customise the calculations using user data as an additional output</t>
  </si>
  <si>
    <t>Option to allow validation data to be incorporated by users</t>
  </si>
  <si>
    <t>Option to vary rainfall runoff relationships for different regions</t>
  </si>
  <si>
    <t>Other changes, as practical, from feedback on beta version</t>
  </si>
  <si>
    <r>
      <t>Ability to handle sodicity of waters with high HCO</t>
    </r>
    <r>
      <rPr>
        <vertAlign val="subscript"/>
        <sz val="12"/>
        <color theme="1"/>
        <rFont val="Calibri"/>
        <family val="2"/>
        <scheme val="minor"/>
      </rPr>
      <t>3</t>
    </r>
    <r>
      <rPr>
        <sz val="12"/>
        <color theme="1"/>
        <rFont val="Calibri"/>
        <family val="2"/>
        <scheme val="minor"/>
      </rPr>
      <t xml:space="preserve"> and sodicity added</t>
    </r>
  </si>
  <si>
    <t>From the drop down boxes shaded in green, choose a plant within one or more categories. The data results will show in the columns to the right.</t>
  </si>
  <si>
    <r>
      <t>Soil salinity EC</t>
    </r>
    <r>
      <rPr>
        <b/>
        <vertAlign val="subscript"/>
        <sz val="11"/>
        <color theme="1"/>
        <rFont val="Calibri"/>
        <family val="2"/>
        <scheme val="minor"/>
      </rPr>
      <t>se</t>
    </r>
    <r>
      <rPr>
        <b/>
        <sz val="11"/>
        <color theme="1"/>
        <rFont val="Calibri"/>
        <family val="2"/>
        <scheme val="minor"/>
      </rPr>
      <t xml:space="preserve"> at</t>
    </r>
  </si>
  <si>
    <r>
      <t>Salinity threshold (EC</t>
    </r>
    <r>
      <rPr>
        <b/>
        <vertAlign val="subscript"/>
        <sz val="11"/>
        <color theme="1"/>
        <rFont val="Calibri"/>
        <family val="2"/>
        <scheme val="minor"/>
      </rPr>
      <t>se</t>
    </r>
    <r>
      <rPr>
        <b/>
        <sz val="11"/>
        <color theme="1"/>
        <rFont val="Calibri"/>
        <family val="2"/>
        <scheme val="minor"/>
      </rPr>
      <t>)</t>
    </r>
  </si>
  <si>
    <t>Rain + irrigation check</t>
  </si>
  <si>
    <t>count of number of warning statements checking total water</t>
  </si>
  <si>
    <t>sum waters</t>
  </si>
  <si>
    <t>if over 2100</t>
  </si>
  <si>
    <t>Sum of total water</t>
  </si>
  <si>
    <t>Rainfall (mm/yr)</t>
  </si>
  <si>
    <t>Irrigation (mm/yr)</t>
  </si>
  <si>
    <t>Ecse av</t>
  </si>
  <si>
    <t>yield percent based on LF</t>
  </si>
  <si>
    <t>BD @ Wmax</t>
  </si>
  <si>
    <t xml:space="preserve">CEC to clay content (%) ratio. </t>
  </si>
  <si>
    <t>CCR is a surrogate measure of clay mineralogy and used to define coefficients in the SALF2 model. As a guide: &lt; 0.20 kaolinite</t>
  </si>
  <si>
    <t>0.20-0.35 kaolinite and illite, 0.35-0.55 mixed mineralogy, 0.55-0.75 mixed mineralogy with a high proportion of montmorillonite</t>
  </si>
  <si>
    <t>0.75-0.95 dominantly montmorillonite, &gt; 0.95 montmorillonite plus feldspars and/or CEC from other than the clay fraction.</t>
  </si>
  <si>
    <r>
      <t>cmol</t>
    </r>
    <r>
      <rPr>
        <vertAlign val="subscript"/>
        <sz val="11"/>
        <color rgb="FF000000"/>
        <rFont val="Calibri"/>
        <family val="2"/>
      </rPr>
      <t>c</t>
    </r>
    <r>
      <rPr>
        <sz val="11"/>
        <color rgb="FF000000"/>
        <rFont val="Calibri"/>
        <family val="2"/>
      </rPr>
      <t>/kg</t>
    </r>
  </si>
  <si>
    <t>Cation exchange capacity is the number of exchangeable cations per dry weight that a soil is capable of holding and available for exchange with the soil solution.</t>
  </si>
  <si>
    <r>
      <t>CEC is an index of clay mineralogy and also is related to soil swelling. The value depends on the pH of soil measurement and the extraction method. CEC estimates with NH</t>
    </r>
    <r>
      <rPr>
        <vertAlign val="subscript"/>
        <sz val="11"/>
        <color rgb="FF000000"/>
        <rFont val="Calibri"/>
        <family val="2"/>
      </rPr>
      <t>4</t>
    </r>
    <r>
      <rPr>
        <sz val="11"/>
        <color rgb="FF000000"/>
        <rFont val="Calibri"/>
        <family val="2"/>
      </rPr>
      <t xml:space="preserve">Cl on soils that contain some salts and are alkaline will give misleading results particularly without a pre wash step. See notes in Background and theory section.  </t>
    </r>
  </si>
  <si>
    <r>
      <t xml:space="preserve">EC </t>
    </r>
    <r>
      <rPr>
        <vertAlign val="subscript"/>
        <sz val="11"/>
        <color rgb="FF000000"/>
        <rFont val="Calibri"/>
        <family val="2"/>
      </rPr>
      <t>1:5</t>
    </r>
  </si>
  <si>
    <t>The EC of a 1:5 soil:water mixture</t>
  </si>
  <si>
    <r>
      <t>EC</t>
    </r>
    <r>
      <rPr>
        <vertAlign val="subscript"/>
        <sz val="11"/>
        <color rgb="FF000000"/>
        <rFont val="Calibri"/>
        <family val="2"/>
      </rPr>
      <t>se</t>
    </r>
  </si>
  <si>
    <t>The EC of a saturation extract of a soil</t>
  </si>
  <si>
    <t>ECse accounts for the effect of soil textural differences in using fixed ratio soil:water mixtures. ECse is the common reference for determining plant salt tolerance</t>
  </si>
  <si>
    <t>ECse calc</t>
  </si>
  <si>
    <t>The EC of a saturation extract of a soil calculated from  EC1:5 using the equation E24 given in BACKGROUND AND THEORY  (9.16 in ANZECC guidelines)</t>
  </si>
  <si>
    <t>A conversion to ECse accounting for soil clay content and the proportion of partially soluble salts present in the soil</t>
  </si>
  <si>
    <t>EC se av rz</t>
  </si>
  <si>
    <t xml:space="preserve">Gypsum requirement to lower the ESP of the surface 0.1 m of soil to an ESP of 5 which would be generally stable under high rainfall periods. It uses the method of Oster (1994) which is more specific and accounts for bulk density. </t>
  </si>
  <si>
    <t>Gypsum requirement to bring the ESP of the surface 0.1 m of soil to an ESP of 5 which would be generally stable under high rainfall periods. It uses the generic method in the appendix of the Salinity Management Handbook</t>
  </si>
  <si>
    <r>
      <t>The adjustment of GR SMH method above for the change in ESP due to the precipitation of Ca as CaCO</t>
    </r>
    <r>
      <rPr>
        <vertAlign val="subscript"/>
        <sz val="11"/>
        <color rgb="FF000000"/>
        <rFont val="Calibri"/>
        <family val="2"/>
      </rPr>
      <t xml:space="preserve">3 </t>
    </r>
    <r>
      <rPr>
        <sz val="11"/>
        <color rgb="FF000000"/>
        <rFont val="Calibri"/>
        <family val="2"/>
      </rPr>
      <t>using the adjustment for Ca precipitation of Lesch &amp; Suarez (2009.)</t>
    </r>
  </si>
  <si>
    <r>
      <t>GR SAR</t>
    </r>
    <r>
      <rPr>
        <vertAlign val="subscript"/>
        <sz val="11"/>
        <color rgb="FF000000"/>
        <rFont val="Calibri"/>
        <family val="2"/>
      </rPr>
      <t>imix</t>
    </r>
  </si>
  <si>
    <t>tonnes/ha/yr</t>
  </si>
  <si>
    <t>Gypsum requirement for a mix of irrigation water sources to bring the SAR of the mixed water to the user defined value.</t>
  </si>
  <si>
    <r>
      <t>Required if SAR exceeds the set value and particularly for alkaline sodic waters. This method does not account for the precipitation of some gypsum as CaCO</t>
    </r>
    <r>
      <rPr>
        <vertAlign val="subscript"/>
        <sz val="11"/>
        <color rgb="FF000000"/>
        <rFont val="Calibri"/>
        <family val="2"/>
      </rPr>
      <t xml:space="preserve">3 </t>
    </r>
    <r>
      <rPr>
        <sz val="11"/>
        <color rgb="FF000000"/>
        <rFont val="Calibri"/>
        <family val="2"/>
      </rPr>
      <t xml:space="preserve"> Also the solubility of gypsum in soil solutions with common ions, high HCO</t>
    </r>
    <r>
      <rPr>
        <vertAlign val="subscript"/>
        <sz val="11"/>
        <color rgb="FF000000"/>
        <rFont val="Calibri"/>
        <family val="2"/>
      </rPr>
      <t>3</t>
    </r>
    <r>
      <rPr>
        <sz val="11"/>
        <color rgb="FF000000"/>
        <rFont val="Calibri"/>
        <family val="2"/>
      </rPr>
      <t xml:space="preserve"> or SO</t>
    </r>
    <r>
      <rPr>
        <vertAlign val="subscript"/>
        <sz val="11"/>
        <color rgb="FF000000"/>
        <rFont val="Calibri"/>
        <family val="2"/>
      </rPr>
      <t>4</t>
    </r>
    <r>
      <rPr>
        <sz val="11"/>
        <color rgb="FF000000"/>
        <rFont val="Calibri"/>
        <family val="2"/>
      </rPr>
      <t xml:space="preserve"> is reduced considerably compared to a Cl dominated system.</t>
    </r>
  </si>
  <si>
    <r>
      <t>GR SAR</t>
    </r>
    <r>
      <rPr>
        <vertAlign val="subscript"/>
        <sz val="11"/>
        <color rgb="FF000000"/>
        <rFont val="Calibri"/>
        <family val="2"/>
      </rPr>
      <t xml:space="preserve"> adj Ca imix</t>
    </r>
  </si>
  <si>
    <r>
      <t>Gypsum requirement for a mix of irrigation water sources to bring the SAR of the mixed water to the user defined value. The quantity of gypsum accounts for the precipitation of Ca as CaCO</t>
    </r>
    <r>
      <rPr>
        <vertAlign val="subscript"/>
        <sz val="11"/>
        <color rgb="FF000000"/>
        <rFont val="Calibri"/>
        <family val="2"/>
      </rPr>
      <t xml:space="preserve">3 </t>
    </r>
    <r>
      <rPr>
        <sz val="11"/>
        <color rgb="FF000000"/>
        <rFont val="Calibri"/>
        <family val="2"/>
      </rPr>
      <t>using the adjustment for Ca precipitation of Lesch &amp; Suarez (2009.)</t>
    </r>
  </si>
  <si>
    <r>
      <t>Required if SAR exceeds the set value and particularly for alkaline sodic waters. This method does account for the precipitation of some gypsum as CaCO</t>
    </r>
    <r>
      <rPr>
        <vertAlign val="subscript"/>
        <sz val="11"/>
        <color rgb="FF000000"/>
        <rFont val="Calibri"/>
        <family val="2"/>
      </rPr>
      <t xml:space="preserve">3 </t>
    </r>
    <r>
      <rPr>
        <sz val="11"/>
        <color rgb="FF000000"/>
        <rFont val="Calibri"/>
        <family val="2"/>
      </rPr>
      <t xml:space="preserve"> Although the solubility of gypsum in soil solutions with common ions, high HCO</t>
    </r>
    <r>
      <rPr>
        <vertAlign val="subscript"/>
        <sz val="11"/>
        <color rgb="FF000000"/>
        <rFont val="Calibri"/>
        <family val="2"/>
      </rPr>
      <t>3</t>
    </r>
    <r>
      <rPr>
        <sz val="11"/>
        <color rgb="FF000000"/>
        <rFont val="Calibri"/>
        <family val="2"/>
      </rPr>
      <t xml:space="preserve"> or SO</t>
    </r>
    <r>
      <rPr>
        <vertAlign val="subscript"/>
        <sz val="11"/>
        <color rgb="FF000000"/>
        <rFont val="Calibri"/>
        <family val="2"/>
      </rPr>
      <t>4</t>
    </r>
    <r>
      <rPr>
        <sz val="11"/>
        <color rgb="FF000000"/>
        <rFont val="Calibri"/>
        <family val="2"/>
      </rPr>
      <t xml:space="preserve"> is reduced considerably compared to a Cl dominated system, this method does account for some of that effect with HCO</t>
    </r>
    <r>
      <rPr>
        <vertAlign val="subscript"/>
        <sz val="11"/>
        <color rgb="FF000000"/>
        <rFont val="Calibri"/>
        <family val="2"/>
      </rPr>
      <t>3</t>
    </r>
    <r>
      <rPr>
        <sz val="11"/>
        <color rgb="FF000000"/>
        <rFont val="Calibri"/>
        <family val="2"/>
      </rPr>
      <t xml:space="preserve"> but not for SO</t>
    </r>
    <r>
      <rPr>
        <vertAlign val="subscript"/>
        <sz val="11"/>
        <color rgb="FF000000"/>
        <rFont val="Calibri"/>
        <family val="2"/>
      </rPr>
      <t>4</t>
    </r>
    <r>
      <rPr>
        <sz val="11"/>
        <color rgb="FF000000"/>
        <rFont val="Calibri"/>
        <family val="2"/>
      </rPr>
      <t>.</t>
    </r>
  </si>
  <si>
    <r>
      <t>mmol</t>
    </r>
    <r>
      <rPr>
        <vertAlign val="subscript"/>
        <sz val="11"/>
        <color rgb="FF000000"/>
        <rFont val="Calibri"/>
        <family val="2"/>
      </rPr>
      <t>c</t>
    </r>
    <r>
      <rPr>
        <sz val="11"/>
        <color rgb="FF000000"/>
        <rFont val="Calibri"/>
        <family val="2"/>
      </rPr>
      <t>/L</t>
    </r>
  </si>
  <si>
    <t>Yield %</t>
  </si>
  <si>
    <t>References referred to are given in BACKGROUND AND THEORY.</t>
  </si>
  <si>
    <r>
      <t xml:space="preserve">Two publications contain the background material referenced in SALF2 and in this section along with other new material as listed below. Links to these 2 publications are below. Additional publications are given in sections </t>
    </r>
    <r>
      <rPr>
        <b/>
        <i/>
        <sz val="11"/>
        <color theme="1"/>
        <rFont val="Arial"/>
        <family val="2"/>
      </rPr>
      <t>Further reading</t>
    </r>
    <r>
      <rPr>
        <i/>
        <sz val="11"/>
        <color theme="1"/>
        <rFont val="Arial"/>
        <family val="2"/>
      </rPr>
      <t xml:space="preserve"> and in </t>
    </r>
    <r>
      <rPr>
        <b/>
        <i/>
        <sz val="11"/>
        <color theme="1"/>
        <rFont val="Arial"/>
        <family val="2"/>
      </rPr>
      <t>References</t>
    </r>
    <r>
      <rPr>
        <i/>
        <sz val="11"/>
        <color theme="1"/>
        <rFont val="Arial"/>
        <family val="2"/>
      </rPr>
      <t>.</t>
    </r>
  </si>
  <si>
    <t>ANZECC &amp; ARMCANZ (2000) Australian and New Zealand guidelines for fresh and marine water quality.</t>
  </si>
  <si>
    <t>Volume 1 and in particular, Chapter 4 Section 4.2.4 Irrigation salinity and sodicity.</t>
  </si>
  <si>
    <t xml:space="preserve">http://www.environment.gov.au/resource/australian-and-new-zealand-guidelines-fresh-and-marine-water-quality-volume-1-guidelines  </t>
  </si>
  <si>
    <r>
      <t>Salinity management handbook for Queensland, Ist Edition 1997, 2</t>
    </r>
    <r>
      <rPr>
        <vertAlign val="superscript"/>
        <sz val="11"/>
        <color theme="1"/>
        <rFont val="Arial"/>
        <family val="2"/>
      </rPr>
      <t>nd</t>
    </r>
    <r>
      <rPr>
        <sz val="11"/>
        <color theme="1"/>
        <rFont val="Arial"/>
        <family val="2"/>
      </rPr>
      <t xml:space="preserve"> Edition 2011</t>
    </r>
  </si>
  <si>
    <t>Under equilibrium steady state conditions the salt mass balance equation applies:</t>
  </si>
  <si>
    <t>Salt in = salt out (at steady state) ie,</t>
  </si>
  <si>
    <t>Volume of water in by salt concentration = volume of water out by salt concentration, ie,</t>
  </si>
  <si>
    <r>
      <t>Q</t>
    </r>
    <r>
      <rPr>
        <vertAlign val="subscript"/>
        <sz val="12"/>
        <color theme="1"/>
        <rFont val="Arial"/>
        <family val="2"/>
      </rPr>
      <t>i</t>
    </r>
    <r>
      <rPr>
        <sz val="12"/>
        <color theme="1"/>
        <rFont val="Arial"/>
        <family val="2"/>
      </rPr>
      <t>c</t>
    </r>
    <r>
      <rPr>
        <vertAlign val="subscript"/>
        <sz val="12"/>
        <color theme="1"/>
        <rFont val="Arial"/>
        <family val="2"/>
      </rPr>
      <t>i</t>
    </r>
    <r>
      <rPr>
        <sz val="12"/>
        <color theme="1"/>
        <rFont val="Arial"/>
        <family val="2"/>
      </rPr>
      <t xml:space="preserve"> = Q</t>
    </r>
    <r>
      <rPr>
        <vertAlign val="subscript"/>
        <sz val="12"/>
        <color theme="1"/>
        <rFont val="Arial"/>
        <family val="2"/>
      </rPr>
      <t>o</t>
    </r>
    <r>
      <rPr>
        <sz val="12"/>
        <color theme="1"/>
        <rFont val="Arial"/>
        <family val="2"/>
      </rPr>
      <t>c</t>
    </r>
    <r>
      <rPr>
        <vertAlign val="subscript"/>
        <sz val="12"/>
        <color theme="1"/>
        <rFont val="Arial"/>
        <family val="2"/>
      </rPr>
      <t>o</t>
    </r>
    <r>
      <rPr>
        <vertAlign val="subscript"/>
        <sz val="11"/>
        <color theme="1"/>
        <rFont val="Arial"/>
        <family val="2"/>
      </rPr>
      <t xml:space="preserve"> </t>
    </r>
  </si>
  <si>
    <t>Where</t>
  </si>
  <si>
    <r>
      <t>c</t>
    </r>
    <r>
      <rPr>
        <vertAlign val="subscript"/>
        <sz val="11"/>
        <color theme="1"/>
        <rFont val="Arial"/>
        <family val="2"/>
      </rPr>
      <t>i</t>
    </r>
  </si>
  <si>
    <t>is the concentration of the water entering a soil (usually expressed as electrical conductivity (EC) or mg/L for chloride (Cl))</t>
  </si>
  <si>
    <r>
      <t>c</t>
    </r>
    <r>
      <rPr>
        <vertAlign val="subscript"/>
        <sz val="11"/>
        <color theme="1"/>
        <rFont val="Arial"/>
        <family val="2"/>
      </rPr>
      <t>o</t>
    </r>
  </si>
  <si>
    <t>is the concentration of the water draining below the nominated root zone depth</t>
  </si>
  <si>
    <r>
      <t>Q</t>
    </r>
    <r>
      <rPr>
        <vertAlign val="subscript"/>
        <sz val="11"/>
        <color theme="1"/>
        <rFont val="Arial"/>
        <family val="2"/>
      </rPr>
      <t>i</t>
    </r>
  </si>
  <si>
    <t>is the quantity of water entering a soil usually expressed as a depth (mm), and</t>
  </si>
  <si>
    <r>
      <t>Q</t>
    </r>
    <r>
      <rPr>
        <vertAlign val="subscript"/>
        <sz val="11"/>
        <color theme="1"/>
        <rFont val="Arial"/>
        <family val="2"/>
      </rPr>
      <t>o</t>
    </r>
  </si>
  <si>
    <t>is the quantity of water draining below the nominated root zone depth.</t>
  </si>
  <si>
    <t>Rearranging the terms,</t>
  </si>
  <si>
    <t>The basis is as follows:</t>
  </si>
  <si>
    <t>Soil particle size and the distribution of  particle sizes</t>
  </si>
  <si>
    <t>determines</t>
  </si>
  <si>
    <t>"</t>
  </si>
  <si>
    <t>Packing of the particles in the soil</t>
  </si>
  <si>
    <t>Soil matrix properties – how water enters, moves &amp; is stored in the soil</t>
  </si>
  <si>
    <t>+</t>
  </si>
  <si>
    <r>
      <t>Clay mineralogy of the</t>
    </r>
    <r>
      <rPr>
        <sz val="11"/>
        <color theme="1"/>
        <rFont val="Arial"/>
        <family val="2"/>
      </rPr>
      <t xml:space="preserve"> </t>
    </r>
    <r>
      <rPr>
        <b/>
        <sz val="11"/>
        <color theme="1"/>
        <rFont val="Arial"/>
        <family val="2"/>
      </rPr>
      <t>soil</t>
    </r>
  </si>
  <si>
    <t>Soil swelling &amp; shrinkage</t>
  </si>
  <si>
    <t>The potential for the soil to restructure if degraded or affected by sodium &amp;/or salt</t>
  </si>
  <si>
    <t>Proportion of sodium on the clay particles (measured as ESP)</t>
  </si>
  <si>
    <t>Clay particle dispersibility &amp; whether clay particles will fill void spaces in the soil matrix</t>
  </si>
  <si>
    <t>Soil matrix stability under wetting &amp; the bulk density (inverse of porosity) of a soil</t>
  </si>
  <si>
    <t>Salt content (measured as EC)</t>
  </si>
  <si>
    <t>How well the dispersed clay particles will be flocculated &amp; thus form a more permeable matrix</t>
  </si>
  <si>
    <t>Soil matrix stability, ease of soil wetting, soil water storage &amp; deep drainage</t>
  </si>
  <si>
    <t>Rainfall + irrigation</t>
  </si>
  <si>
    <t>Degree of  “stress’’ the soil is under i.e. how much dispersion and leaching occurs</t>
  </si>
  <si>
    <t>Soil and plant response under irrigation and management</t>
  </si>
  <si>
    <t>Thus substituting soil properties into equation (2) above’</t>
  </si>
  <si>
    <r>
      <t>c</t>
    </r>
    <r>
      <rPr>
        <vertAlign val="subscript"/>
        <sz val="11"/>
        <color theme="1"/>
        <rFont val="Arial"/>
        <family val="2"/>
      </rPr>
      <t>o</t>
    </r>
    <r>
      <rPr>
        <sz val="11"/>
        <color theme="1"/>
        <rFont val="Arial"/>
        <family val="2"/>
      </rPr>
      <t xml:space="preserve"> = Q</t>
    </r>
    <r>
      <rPr>
        <vertAlign val="subscript"/>
        <sz val="11"/>
        <color theme="1"/>
        <rFont val="Arial"/>
        <family val="2"/>
      </rPr>
      <t>i</t>
    </r>
    <r>
      <rPr>
        <sz val="11"/>
        <color theme="1"/>
        <rFont val="Arial"/>
        <family val="2"/>
      </rPr>
      <t>c</t>
    </r>
    <r>
      <rPr>
        <vertAlign val="subscript"/>
        <sz val="11"/>
        <color theme="1"/>
        <rFont val="Arial"/>
        <family val="2"/>
      </rPr>
      <t xml:space="preserve">i </t>
    </r>
    <r>
      <rPr>
        <sz val="11"/>
        <color theme="1"/>
        <rFont val="Arial"/>
        <family val="2"/>
      </rPr>
      <t xml:space="preserve"> / f (clay, mineralogy ESP)</t>
    </r>
  </si>
  <si>
    <r>
      <t>The equations and coefficients for a wide range of soil groups were developed and are given in ANZECC &amp; ARMCANZ (2000) that relate EC</t>
    </r>
    <r>
      <rPr>
        <vertAlign val="subscript"/>
        <sz val="11"/>
        <color theme="1"/>
        <rFont val="Arial"/>
        <family val="2"/>
      </rPr>
      <t>se</t>
    </r>
    <r>
      <rPr>
        <sz val="11"/>
        <color theme="1"/>
        <rFont val="Arial"/>
        <family val="2"/>
      </rPr>
      <t xml:space="preserve"> of a soil at the bottom of the root zone to rainfall and soil properties which allows prediction of soil response to irrigation.</t>
    </r>
  </si>
  <si>
    <t>Leaching fraction is a key concept of irrigation management which was introduced by USSL (1954) to manage the degree of leaching to maintain the root zone salinity at an acceptable level for plant growth. It applies to steady state equilibrium conditions although it has been very usefully applied for many years to situations that approximate steady state and also in situations where some salts precipitate when corrections can be made for these processes.</t>
  </si>
  <si>
    <t>Rearranging equation (1) gives</t>
  </si>
  <si>
    <r>
      <t>LF = c</t>
    </r>
    <r>
      <rPr>
        <vertAlign val="subscript"/>
        <sz val="11"/>
        <color theme="1"/>
        <rFont val="Arial"/>
        <family val="2"/>
      </rPr>
      <t>i</t>
    </r>
    <r>
      <rPr>
        <sz val="11"/>
        <color theme="1"/>
        <rFont val="Arial"/>
        <family val="2"/>
      </rPr>
      <t>/c</t>
    </r>
    <r>
      <rPr>
        <vertAlign val="subscript"/>
        <sz val="11"/>
        <color theme="1"/>
        <rFont val="Arial"/>
        <family val="2"/>
      </rPr>
      <t>o</t>
    </r>
    <r>
      <rPr>
        <sz val="11"/>
        <color theme="1"/>
        <rFont val="Arial"/>
        <family val="2"/>
      </rPr>
      <t xml:space="preserve"> = Q</t>
    </r>
    <r>
      <rPr>
        <vertAlign val="subscript"/>
        <sz val="11"/>
        <color theme="1"/>
        <rFont val="Arial"/>
        <family val="2"/>
      </rPr>
      <t>o</t>
    </r>
    <r>
      <rPr>
        <sz val="11"/>
        <color theme="1"/>
        <rFont val="Arial"/>
        <family val="2"/>
      </rPr>
      <t>/Q</t>
    </r>
    <r>
      <rPr>
        <vertAlign val="subscript"/>
        <sz val="11"/>
        <color theme="1"/>
        <rFont val="Arial"/>
        <family val="2"/>
      </rPr>
      <t xml:space="preserve">i </t>
    </r>
  </si>
  <si>
    <t>The following table references the equations used in SALF2 to perform the calculations. The equations will be reformatted into a consistent format in the next version.</t>
  </si>
  <si>
    <t>http://www.soilscienceaustralia.com.au/images/stories/qld/Publications/measuring_soil_cation_exchange_capacity_and_exchangeable_cations.pdf</t>
  </si>
  <si>
    <t>Limitations, Disclaimer and Copyright</t>
  </si>
  <si>
    <t>PAWC calculation algorithms adjusted to account for variation in air content at maximum field water content</t>
  </si>
  <si>
    <t>Algorithms of original SALF (DNR 1997) coded in Excel format.</t>
  </si>
  <si>
    <r>
      <t xml:space="preserve">Time to EC equil </t>
    </r>
    <r>
      <rPr>
        <i/>
        <sz val="12"/>
        <color theme="1"/>
        <rFont val="Calibri"/>
        <family val="2"/>
        <scheme val="minor"/>
      </rPr>
      <t>(years)</t>
    </r>
  </si>
  <si>
    <r>
      <t xml:space="preserve">Av CEC </t>
    </r>
    <r>
      <rPr>
        <i/>
        <sz val="12"/>
        <color theme="1"/>
        <rFont val="Calibri"/>
        <family val="2"/>
        <scheme val="minor"/>
      </rPr>
      <t>(cmolc/kg)</t>
    </r>
  </si>
  <si>
    <t>Where the result indicates "Threshold value used", a Productivity value was not available, see the Plant Salt Tolerance page for details.</t>
  </si>
  <si>
    <t>Equivalent ESP      0-0.1m for SAR</t>
  </si>
  <si>
    <t>Check of if site has values</t>
  </si>
  <si>
    <r>
      <t>Ddr</t>
    </r>
    <r>
      <rPr>
        <i/>
        <sz val="12"/>
        <color theme="1"/>
        <rFont val="Calibri"/>
        <family val="2"/>
        <scheme val="minor"/>
      </rPr>
      <t xml:space="preserve"> (mm/yr)</t>
    </r>
  </si>
  <si>
    <r>
      <t xml:space="preserve">Ddr </t>
    </r>
    <r>
      <rPr>
        <i/>
        <sz val="12"/>
        <color theme="1"/>
        <rFont val="Calibri"/>
        <family val="2"/>
        <scheme val="minor"/>
      </rPr>
      <t>(mm/yr)</t>
    </r>
  </si>
  <si>
    <t>1     Concept of soil behaviour and response to irrigation</t>
  </si>
  <si>
    <t xml:space="preserve">           1.1        Salt mass balance</t>
  </si>
  <si>
    <t>(1)</t>
  </si>
  <si>
    <t>(2)</t>
  </si>
  <si>
    <t>(3)</t>
  </si>
  <si>
    <t>(4)</t>
  </si>
  <si>
    <t>2      Equations used in SALF2</t>
  </si>
  <si>
    <t xml:space="preserve">          3.1      Cation exchange capacity and exchangeable sodium</t>
  </si>
  <si>
    <t>3.2      Air dry moisture content</t>
  </si>
  <si>
    <t>3.3      Annual rainfall</t>
  </si>
  <si>
    <t>3.4     Soil rooting depth</t>
  </si>
  <si>
    <t>1.    Concept of soil behaviour and response to irrigation</t>
  </si>
  <si>
    <t>2.    Equations used in SALF2</t>
  </si>
  <si>
    <t xml:space="preserve">3.    Notes and common questions on input parameters and sodicty </t>
  </si>
  <si>
    <t>There are two approaches to optimising the mixing of water supplies</t>
  </si>
  <si>
    <t xml:space="preserve">   • a conservative approach which considers irrigation during the dry season, or an extended dry season, and does not include any dilution from rainfall. This is the recommended starting point.</t>
  </si>
  <si>
    <t xml:space="preserve">   • including rainfall in the mix. If using this option, suggest to start with 20% of the annual rainfall and increase it only until a solution is found. See step 4c under Solver process below</t>
  </si>
  <si>
    <t>refer to cells that will report Solver results from the optimisation</t>
  </si>
  <si>
    <t>if negative</t>
  </si>
  <si>
    <t>IF(AND(ISNUMBER(O24),ISNUMBER(P24),ISNUMBER(J24),ISNUMBER(K24)),(O24+P24)-(J24+K24),IF(AND(ISBLANK(H16),ISNUMBER(W16),ISNUMBER(X16)),(W16-X16)*0.02,IF(AND(ISNUMBER(O24),ISNUMBER(J24),ISNUMBER(K24)),(O24)-(J24+K24),"No Data")))),"No Data")</t>
  </si>
  <si>
    <t>Hem</t>
  </si>
  <si>
    <t>Value</t>
  </si>
  <si>
    <t>Chemisty</t>
  </si>
  <si>
    <t>Hem - co3</t>
  </si>
  <si>
    <t xml:space="preserve"> (unit chosen will set for all ionic values for each site)</t>
  </si>
  <si>
    <t>RA Unit (choose)</t>
  </si>
  <si>
    <t>Sugar cane salt tolerance figures based on the figures of Mass and Hoffman (1977) as reported in Salinity Management Handbook (2011) are a threshold EC value of ECse of 1.7 dS/m, a yield decrease of 5.6 % per 1 dS/m increase in soil ECse.</t>
  </si>
  <si>
    <t>Kingston and Anink (2005) reinterpreted the earlier salt tolerance of sugar cane derived in the United States and included ratoon cane validated from field results. Ratoon cane is more sensitive to salt than first plant cane.</t>
  </si>
  <si>
    <t>Sugarcane sensitive cultivar - plant</t>
  </si>
  <si>
    <t>Sugarcane sensitive cultivar - ratoon</t>
  </si>
  <si>
    <t>Sugarcane moderately sensitive cultivar - plant</t>
  </si>
  <si>
    <t>Sugarcane moderately sensitive cultivar - ratoon</t>
  </si>
  <si>
    <t>Dropdown list for rainfall choice in mixing'</t>
  </si>
  <si>
    <t>Sources chosen</t>
  </si>
  <si>
    <r>
      <t>EC</t>
    </r>
    <r>
      <rPr>
        <vertAlign val="subscript"/>
        <sz val="11"/>
        <color theme="1"/>
        <rFont val="Calibri"/>
        <family val="2"/>
        <scheme val="minor"/>
      </rPr>
      <t>i</t>
    </r>
    <r>
      <rPr>
        <sz val="11"/>
        <color theme="1"/>
        <rFont val="Calibri"/>
        <family val="2"/>
        <scheme val="minor"/>
      </rPr>
      <t xml:space="preserve"> unit (choose)</t>
    </r>
  </si>
  <si>
    <r>
      <t>EC</t>
    </r>
    <r>
      <rPr>
        <vertAlign val="subscript"/>
        <sz val="11"/>
        <color theme="1"/>
        <rFont val="Calibri"/>
        <family val="2"/>
        <scheme val="minor"/>
      </rPr>
      <t>i</t>
    </r>
  </si>
  <si>
    <r>
      <t>Input clay content, CEC and either ESP or Exchangeable Na soil properties, for up to 3 sites and the depth increment of the analysis up to 12 depth increments. The method of analysis for CEC and ESP is important. The quick method using NH</t>
    </r>
    <r>
      <rPr>
        <vertAlign val="subscript"/>
        <sz val="11"/>
        <color theme="1"/>
        <rFont val="Arial"/>
        <family val="2"/>
      </rPr>
      <t>4</t>
    </r>
    <r>
      <rPr>
        <sz val="11"/>
        <color theme="1"/>
        <rFont val="Arial"/>
        <family val="2"/>
      </rPr>
      <t>Cl in soils with moderate to high EC and pH &gt;7 will give misleading results. See BACKGROUND AND THEORY</t>
    </r>
  </si>
  <si>
    <r>
      <t>Input of EC and Cl on a 1:5 suspension (choose applicable units) will allow conversion of EC</t>
    </r>
    <r>
      <rPr>
        <vertAlign val="subscript"/>
        <sz val="11"/>
        <color theme="1"/>
        <rFont val="Arial"/>
        <family val="2"/>
      </rPr>
      <t>1:5</t>
    </r>
    <r>
      <rPr>
        <sz val="11"/>
        <color theme="1"/>
        <rFont val="Arial"/>
        <family val="2"/>
      </rPr>
      <t xml:space="preserve"> to EC</t>
    </r>
    <r>
      <rPr>
        <vertAlign val="subscript"/>
        <sz val="11"/>
        <color theme="1"/>
        <rFont val="Arial"/>
        <family val="2"/>
      </rPr>
      <t>se</t>
    </r>
    <r>
      <rPr>
        <sz val="11"/>
        <color theme="1"/>
        <rFont val="Arial"/>
        <family val="2"/>
      </rPr>
      <t xml:space="preserve"> and EC</t>
    </r>
    <r>
      <rPr>
        <vertAlign val="subscript"/>
        <sz val="11"/>
        <color theme="1"/>
        <rFont val="Arial"/>
        <family val="2"/>
      </rPr>
      <t>s</t>
    </r>
    <r>
      <rPr>
        <sz val="11"/>
        <color theme="1"/>
        <rFont val="Arial"/>
        <family val="2"/>
      </rPr>
      <t>. If ADMC and/or 1500 kPa values are available they will be used otherwise conversions based on clay and CEC are used. ADMC is the water content between 40</t>
    </r>
    <r>
      <rPr>
        <vertAlign val="superscript"/>
        <sz val="11"/>
        <color theme="1"/>
        <rFont val="Arial"/>
        <family val="2"/>
      </rPr>
      <t>o</t>
    </r>
    <r>
      <rPr>
        <sz val="11"/>
        <color theme="1"/>
        <rFont val="Arial"/>
        <family val="2"/>
      </rPr>
      <t>C and 105</t>
    </r>
    <r>
      <rPr>
        <vertAlign val="superscript"/>
        <sz val="11"/>
        <color theme="1"/>
        <rFont val="Arial"/>
        <family val="2"/>
      </rPr>
      <t>o</t>
    </r>
    <r>
      <rPr>
        <sz val="11"/>
        <color theme="1"/>
        <rFont val="Arial"/>
        <family val="2"/>
      </rPr>
      <t>C, see ABBREVIATIONS AND GLOSSARY</t>
    </r>
  </si>
  <si>
    <t>Version 0.9 beta 15 November 2014</t>
  </si>
  <si>
    <r>
      <rPr>
        <sz val="11"/>
        <color theme="1"/>
        <rFont val="Calibri"/>
        <family val="2"/>
        <scheme val="minor"/>
      </rPr>
      <t xml:space="preserve">               </t>
    </r>
    <r>
      <rPr>
        <sz val="11"/>
        <color theme="1"/>
        <rFont val="Calibri"/>
        <family val="2"/>
        <scheme val="minor"/>
      </rPr>
      <t xml:space="preserve">Volume 3 Primary Industries – rationale and background information. section 9.2.3 Salinity and sodicity </t>
    </r>
  </si>
  <si>
    <r>
      <rPr>
        <sz val="11"/>
        <rFont val="Calibri"/>
        <family val="2"/>
        <scheme val="minor"/>
      </rPr>
      <t xml:space="preserve">               </t>
    </r>
    <r>
      <rPr>
        <u/>
        <sz val="11"/>
        <color theme="10"/>
        <rFont val="Calibri"/>
        <family val="2"/>
        <scheme val="minor"/>
      </rPr>
      <t xml:space="preserve">http://www.environment.gov.au/system/files/resources/e080174c-b267-455e-a8db-d3f79e3b2142/files/nwqms-guidelines-4-vol3.pdf  </t>
    </r>
  </si>
  <si>
    <r>
      <rPr>
        <sz val="11"/>
        <color theme="10"/>
        <rFont val="Calibri"/>
        <family val="2"/>
        <scheme val="minor"/>
      </rPr>
      <t xml:space="preserve">               </t>
    </r>
    <r>
      <rPr>
        <u/>
        <sz val="11"/>
        <color theme="10"/>
        <rFont val="Calibri"/>
        <family val="2"/>
        <scheme val="minor"/>
      </rPr>
      <t>https://publications.qld.gov.au/dataset/salinity-management-handbook</t>
    </r>
  </si>
  <si>
    <t>Given that ci and Qi  are known under irrigation and co  can be predicted (equation 3), then estimates of soil response to irrigation can be made. This is incorporated into the PREDICTIVE CALCULATOR of SALF2</t>
  </si>
  <si>
    <t>3       Notes and common questions on use of the input parameters</t>
  </si>
  <si>
    <t>There are several methods used for CEC determination and ESP (Rayment &amp; Lyons, 2011). The commonly used quick method extracting exchangeable cations using NH4Cl at pH 7 without a prewash and if done on alkaline soils with some salts will give erroneous results. The  salt content contributes to the result and NH4Cl will dissolve solid phase Ca and Na salts. If an independent method is not used to determine CEC and the analysed cations are summed, then the CEC value is also likely to be overestimated. Thus considerable caution is required if the quick NH4Cl method is used. Similar caution is necessary if a soil solution SAR is used to estimate ESP in an alkaline soil and particularly so if the soil has some salt content and the analysis is conducted on a dilute 1:5 soil:water extract since the valence dilution principle applies and more monovalent cations move onto the clay exchange in more dilute soil solution concentrations.</t>
  </si>
  <si>
    <t xml:space="preserve">The report by Soil Science Australia, Queensland Branch (2013). Measuring soil cation exchange capacity and exchangeable cations. is required reading if there is doubt about what CEC and ESP values are being used.    </t>
  </si>
  <si>
    <t>See the abbreviations and glossary on ADMC. It is not commonly reported in the true definition of the measurement and thus can give variable values and results. Because the drying temperature is at 40oC, it is subject to variations in humidity depending on drying conditions. However, a true ADMC is a simple and useful surrogate measurement for field soil water behaviour.</t>
  </si>
  <si>
    <t>For regions other than Queensland or areas which don’t have a seasonal summer rainfall pattern, some adjustment for local conditions may be an option. In a future version a method for adjustment across regional rainfall zones will be considered.</t>
  </si>
  <si>
    <t>A depth of 0.9 m has been largely followed as a default bottom-of-the-root-zone depth in the calculators. This is a reasonable compromise and will only result in an issue in sandy textured permeable soils. If the root zone is limited to a shallower depth, the salt balance should be reasonably constant below the shallower rooting depth of 0.9 m. However, PAWC is sensitive to root zone depth and limitations to rooting need to be considered.  A range of Queensland soils are shown in comparison with the Shockley (1955) root zone water use relationships as used in SALF2, in Figure 1. Overall the field measured differences from the Shockley (1955) relationships are acceptable except for 0.6 and 1.2 m rooting depths. In determining PAWC, the degree of plant stress imposed and subsoil physical limitations are also important factors.</t>
  </si>
  <si>
    <r>
      <t xml:space="preserve">Figure 1. </t>
    </r>
    <r>
      <rPr>
        <sz val="11"/>
        <color theme="1"/>
        <rFont val="Arial"/>
        <family val="2"/>
      </rPr>
      <t xml:space="preserve">The differences in cumulative water extraction with depth for a range of clay soils compared to the Shockley (1955) root zone depth relationships used in SALF2. The rate of change in the lower soil depths reflects the reduced permeability and water holding capacity at depth, particularly for sodic subsoils. </t>
    </r>
  </si>
  <si>
    <t>The figures used in SALF2 are published figures in the tables in Salinity Management Handbook (2011) and in ANZECC &amp; ARMCANZ (2000) collated from published reports and papers in the early 1990s. They are not complete and more recent work has not been reviewed except for the inclusion of sugarcane plant salt tolerance based on Kingston &amp; Anink (2005). Also some additional information on ornamentals and trees is published in the Salinity Management Handbook (2011). A majority of the work on plant salt tolerance has been done in the USA in pots in glasshouse conditions with solutions dominantly of NaCl composition although Australian data has been included wherever possible. The Salinity Management Handbook (2011) gives the sources of the data incorporated. Plant salt tolerance in the field can differ from published data due to solution culture, glasshouse conditions and dominance of Na. Ca has a known effect to increase salt tolerance in the presence of Na. Thus plant salt tolerance figures are a guide. In general the extensive review of plant salt tolerance studies by Maas &amp; Hoffman (1977) linearised the response curve to give the yield reduction with increasing EC. This is only important at the very low and the high EC ends of the plant response to EC.</t>
  </si>
  <si>
    <t>In the MIXING WATERS calculator the mixing of waters to achieve a nominated EC and plant salt tolerance is used initially without considering rainfall to ensure soil salinity levels during the dry season do not significantly impact of plant yield. There is conflicting evidence about whether it is as effective to use more saline waters at different stages of the plant growth cycle and rainfall season rather than mixing. This aspect is not included in SALF2 but should be considered.</t>
  </si>
  <si>
    <t>What is evident from Figure 2 is that the SALF2 model equilibrium lines (using the specific soil clay and CCR group of the Oster and Schroer soil) are equivalent to iso-infiltration rate lines using the Oster and Schroer data. The shape of the curves fit the data pretty well with similar infiltration rates for the various combinations of EC and ESP. Also a rainfall of 250 mm/yr is really quite conservative as a boundary between a stable soil to the right and an unstable soil to the left compared to a rainfall of 2,000 mm/yr which indicates a ‘stable’ soil at a much lower infiltration rate. There is no universal fixed irrigation SAR value but a range over which an acceptable SAR value needs to be considered in relation to desired outcomes of irrigation management.</t>
  </si>
  <si>
    <t>The same principles apply to subsoils which can be equated to a comparative hydraulic conductivity reduction (different scale of values). Soil leaching with high subsoil ESP is more able to be achieved if there is high water input to leach the soil or sufficient salt to flocculate subsoils, if flocculation is feasible. Also since subsoils are confined and don’t wet to saturation (except around macropores), they will remain more stable than surface soils.</t>
  </si>
  <si>
    <t>Thus if a more conservative approach is required, having lower SAR values for a given EC will result in less soil stability problems under heavy rainfall.</t>
  </si>
  <si>
    <t>The ANZECC &amp; ARMCANZ (2000) guidelines use a standard LF of 0.15 , that is 15% of the irrigation + rainfall moving below the root zone. The QUICK CALCULATOR in SALF2 has incorporated LF 0.1 and 0.2 as well as the standard 0.15. While higher and lower LF values do occur, having a target range between LF = 0.1 and 0.2 is reasonable objective for predictions of irrigation water suitability. The PREDICTIVE CALCULATOR allows an estimate of the actual LF given soil properties, irrigation water quality as well as irrigation and rainfall. Figure 3 shows LF values for the Lockyer Valley in SE Queensland measured by the salt balance method at the bottom of the root zone showing a range of LFs for each soil type description. Silburn et al. (2013) reviewed Dd for irrigation in cotton and around the world with the great majority of the results presented in their Figures 3 and 7 lying between LF 0.075 and 0.2. LF is actually non-linear with increasing inputs as expected since with higher inputs the soil can be constantly wet.</t>
  </si>
  <si>
    <r>
      <t xml:space="preserve">Figure 3. </t>
    </r>
    <r>
      <rPr>
        <sz val="11"/>
        <color theme="1"/>
        <rFont val="Arial"/>
        <family val="2"/>
      </rPr>
      <t>LF estimates from bottom of the root zone salt balance method for a range of soils in the Lockyer Valley SEQ irrigated for periods up to 30 years with a wide range of irrigation water EC values..</t>
    </r>
  </si>
  <si>
    <t>Section 9.2.3.4 in ANZECC &amp; ARMCANZ (2000) guidelines outlines some of the earlier water quality guidelines with some comments. This section only includes selected more recent ones if users want to check alternative general guidelines.</t>
  </si>
  <si>
    <t>This is an updated reprint of the earlier 1976 edition and is readily available on the web. Their Table 1 gives general guidelines for interpretation of water quality and the publication has a wide range of useful material. www.fao.org/docrep/003/T0234E/T0234E00.HTM</t>
  </si>
  <si>
    <t>Suarez (2012) in chapter 11 presents irrigation water quality assessment in general terms concentrating on EC and SAR. This is the recent US version. Individual chapters can be purchased as ebooks as well as the whole book at http://ascelibrary.org/doi/book/10.1061/9780784411698</t>
  </si>
  <si>
    <t>While this is specifically related to sugarcane, it has recent plant salt tolerance information for sugar and also like the other two irrigation guidelines above emphasises the problems with low EC and moderate SAR waters on surface soil stability. http://www.sugarresearch.com.au/icms_docs/163250_Irrigation_of_Sugarcane_Manual.pdf</t>
  </si>
  <si>
    <t>Models – predictions, accuracy and uncertainty</t>
  </si>
  <si>
    <t>The best expectation from SALF2 would be an 80% accuracy in prediction given good data. Models are simplified representations of reality that try to incorporate the most significant processes. However interactions between processes can be difficult to capture and tipping points when processes interact and reach an unpredictable point are even more difficult. Sometimes errors in model components can cancel other errors when combined in a whole system and errors can equally be additive to other errors. Irrigation is complex with many interacting factors, soil, water, plants and climate. Thus the best SALF2 can do is give reasonable guidance on options. Seeking convergence with other available evidence is helpful.</t>
  </si>
  <si>
    <t>The trade-off between accuracy and practicality is worth it. As Brian Schmidt expressed it “Einstein established a new set of equations that described gravity, where space was curved and would be altered by the presence of mass. This was a different reality to Newton’s laws…. In 1919 it was demonstrated … for the first time. So Einstein’s gravity is now reality.</t>
  </si>
  <si>
    <t>So why do we teach anyone Newton’s laws, well because they work in most situations and they are intuitive, ….. because it is so horrid to figure out what is happening within Einstein’s framework. … For me gravity is Newton’s laws most of the time and that forms a basis of reality of how I think of how gravity works which is probably true for almost everyone….”</t>
  </si>
  <si>
    <t>Brian Schmidt, the 2014 Kenneth Myer lecture Exploring the role of research in Australian lives. Presented by the Friends of the National Library of Australia, held 29 July 2104. http://www.abc.net.au/radionational/programs/bigideas/science-and-society/5680792 28 August 2014</t>
  </si>
  <si>
    <t xml:space="preserve">Ayers, RS &amp; Westcot, DW 1994. Water quality for Agriculture. FAO Irrigation and Drainage Paper 29 Rev.1. FAO, Rome. www.fao.org/docrep/003/T0234E/T0234E00.HTM </t>
  </si>
  <si>
    <t>Gardner, EA, Bauman, B, Littleboy, M Coughlan, KJ, Kalma, S &amp; Schafer, BM 1998. Plant available water capacity of major cereal cropping soils in Southern Queensland. Final report on project DAQ749 to the Grains Research and Development Corporation. Department of Natural Resources, Brisbane. September 1998.</t>
  </si>
  <si>
    <t xml:space="preserve">Holden, JR &amp; McGuire, PJ 2013. Irrigation of Sugarcane manual. BSES limited, 2010 edition of Irrigation of Sugarcane manual published in 1998. BSES Limited Technical Publication MN 10004. http://www.sugarresearch.com.au/icms_docs/163250_Irrigation_of_Sugarcane_Manual.pdf </t>
  </si>
  <si>
    <t>Littleboy, M 2002. Integrating biophysical modelling and soil physical properties for quantitative land evaluation. Chapter 24 in McKenzie, Neil, Coughlan, Kep &amp; Cresswell, Hamish. Soil physical measurement and interpretation for land evaluation. CSIRO publishing, Collingwood.</t>
  </si>
  <si>
    <t>Rayment, GE &amp; Lyons, DJ 2011. Soil Chemical Methods – Australasia. CSIRO Publishing, Melbourne.</t>
  </si>
  <si>
    <t>Salinity Management Handbook for Queensland 2011. 2nd edition. DNRQ97109 #28823 Department of Environment and Resource Management, Brisbane. https://publications.qld.gov.au/dataset/salinity-management-handbook</t>
  </si>
  <si>
    <t>Shaw, RJ 1994. Estimation of the electrical conductivity of saturation extracts from the electrical conductivity of 1:5 soil:water suspensions and various soil properties. Report QO94025, Queensland Department of Primary Industries, Brisbane. Available by email to salf2calculator@gmail.com</t>
  </si>
  <si>
    <t>Shaw, RJ &amp; Yule, DF 1978. Assessment of soils for irrigation, Emerald, Queensland. Agricultural Chemistry Branch Technical Report No. 13, Queensland Department of Primary Industries, Brisbane.</t>
  </si>
  <si>
    <t xml:space="preserve">Suarez, DL 2012. Irrigation water quality assessments. Chapter 11 pages 343-370 in Agricultural salinity assessment and management/ prepared by the Water Quality Technical Committee of the Irrigation and Drainage Council of the Environmental and Water Resources institute of the American Society of Civil Engineers. Edited WW Wallender &amp; KJ Tanji  2nd edition. ASCE manuals and reports on engineering practice, No 71. Reston. www.asce.org/pubs </t>
  </si>
  <si>
    <t xml:space="preserve">Suarez, DL &amp; Jurinak, JJ 2012. The chemistry of salt-affected soils and waters. Chapter 3 page 57- in Agricultural salinity assessment and management/ prepared by the Water Quality Technical Committee of the Irrigation and Drainage Council of the Environmental and Water Resources institute of the American Society of Civil Engineers. Edited WW Wallender &amp; KJ Tanji  2nd edition. ASCE manuals and reports on engineering practice, No 71. Reston. www.asce.org/pubs </t>
  </si>
  <si>
    <t xml:space="preserve">USSL 1954. Diagnosis and improvement of saline and alkali soils. Agriculture handbook No 60, USDA, Washington. http://www.ars.usda.gov/sp2UserFiles/Place/20360500/hb60_pdf/hb60complete.pdf </t>
  </si>
  <si>
    <t>LF based on soil salt balance measurements</t>
  </si>
  <si>
    <t>Rainfall 830 mm, irrigation 400 mm with ECi up to 7.9 dS/m</t>
  </si>
  <si>
    <r>
      <t xml:space="preserve">Kingston, G &amp; Anink, MC 2005. Use of in-field measurements to refine salinity tolerance thresholds for cultivars of sugarcane. </t>
    </r>
    <r>
      <rPr>
        <i/>
        <sz val="11"/>
        <color theme="1"/>
        <rFont val="Calibri"/>
        <family val="2"/>
        <scheme val="minor"/>
      </rPr>
      <t xml:space="preserve">Proceedings International Society of Sugar Cane Technologists. </t>
    </r>
    <r>
      <rPr>
        <b/>
        <sz val="11"/>
        <color theme="1"/>
        <rFont val="Calibri"/>
        <family val="2"/>
        <scheme val="minor"/>
      </rPr>
      <t>25:</t>
    </r>
    <r>
      <rPr>
        <sz val="11"/>
        <color theme="1"/>
        <rFont val="Calibri"/>
        <family val="2"/>
        <scheme val="minor"/>
      </rPr>
      <t>147-152.</t>
    </r>
  </si>
  <si>
    <r>
      <t xml:space="preserve">Lesch, SM &amp; Suarez, DL 2009. A short note on calculating the adjusted SAR index. </t>
    </r>
    <r>
      <rPr>
        <i/>
        <sz val="11"/>
        <color theme="1"/>
        <rFont val="Calibri"/>
        <family val="2"/>
        <scheme val="minor"/>
      </rPr>
      <t>Transactions of the American Society of Agricultural and Biological Engineers</t>
    </r>
    <r>
      <rPr>
        <b/>
        <sz val="11"/>
        <color theme="1"/>
        <rFont val="Calibri"/>
        <family val="2"/>
        <scheme val="minor"/>
      </rPr>
      <t xml:space="preserve"> 52:</t>
    </r>
    <r>
      <rPr>
        <sz val="11"/>
        <color theme="1"/>
        <rFont val="Calibri"/>
        <family val="2"/>
        <scheme val="minor"/>
      </rPr>
      <t xml:space="preserve"> 493-496.</t>
    </r>
  </si>
  <si>
    <r>
      <t xml:space="preserve">Mass, EV &amp; Hoffman, GJ 1977. Crop salt tolerance – current assessment. </t>
    </r>
    <r>
      <rPr>
        <i/>
        <sz val="11"/>
        <color theme="1"/>
        <rFont val="Calibri"/>
        <family val="2"/>
        <scheme val="minor"/>
      </rPr>
      <t xml:space="preserve">Journal of the Irrigation and Drainage Division, Proceedings of the American Society of Civil Engineers, </t>
    </r>
    <r>
      <rPr>
        <b/>
        <sz val="11"/>
        <color theme="1"/>
        <rFont val="Calibri"/>
        <family val="2"/>
        <scheme val="minor"/>
      </rPr>
      <t xml:space="preserve">103: </t>
    </r>
    <r>
      <rPr>
        <sz val="11"/>
        <color theme="1"/>
        <rFont val="Calibri"/>
        <family val="2"/>
        <scheme val="minor"/>
      </rPr>
      <t>115-130.</t>
    </r>
  </si>
  <si>
    <r>
      <t xml:space="preserve">Miyamoto, S 1980. Effects of bicarbonate on sodium hazard of irrigation water: alternative formulation. </t>
    </r>
    <r>
      <rPr>
        <i/>
        <sz val="11"/>
        <color theme="1"/>
        <rFont val="Calibri"/>
        <family val="2"/>
        <scheme val="minor"/>
      </rPr>
      <t xml:space="preserve">Soil Science Society of America Journal </t>
    </r>
    <r>
      <rPr>
        <b/>
        <sz val="11"/>
        <color theme="1"/>
        <rFont val="Calibri"/>
        <family val="2"/>
        <scheme val="minor"/>
      </rPr>
      <t>44:</t>
    </r>
    <r>
      <rPr>
        <sz val="11"/>
        <color theme="1"/>
        <rFont val="Calibri"/>
        <family val="2"/>
        <scheme val="minor"/>
      </rPr>
      <t>1079–1084.</t>
    </r>
  </si>
  <si>
    <r>
      <t xml:space="preserve">McNeal, BL &amp; Coleman, NT 1966. Effect of solution composition on soil hydraulic conductivity. </t>
    </r>
    <r>
      <rPr>
        <i/>
        <sz val="11"/>
        <color theme="1"/>
        <rFont val="Calibri"/>
        <family val="2"/>
        <scheme val="minor"/>
      </rPr>
      <t xml:space="preserve">Soil Science Society of America Proceedings </t>
    </r>
    <r>
      <rPr>
        <b/>
        <sz val="11"/>
        <color theme="1"/>
        <rFont val="Calibri"/>
        <family val="2"/>
        <scheme val="minor"/>
      </rPr>
      <t>30:</t>
    </r>
    <r>
      <rPr>
        <sz val="11"/>
        <color theme="1"/>
        <rFont val="Calibri"/>
        <family val="2"/>
        <scheme val="minor"/>
      </rPr>
      <t>308-312.</t>
    </r>
  </si>
  <si>
    <r>
      <t xml:space="preserve">Oster, JD 1994. Irrigation with poor quality water. </t>
    </r>
    <r>
      <rPr>
        <i/>
        <sz val="11"/>
        <color theme="1"/>
        <rFont val="Calibri"/>
        <family val="2"/>
        <scheme val="minor"/>
      </rPr>
      <t xml:space="preserve">Agricultural Water Management </t>
    </r>
    <r>
      <rPr>
        <b/>
        <sz val="11"/>
        <color theme="1"/>
        <rFont val="Calibri"/>
        <family val="2"/>
        <scheme val="minor"/>
      </rPr>
      <t xml:space="preserve">25: </t>
    </r>
    <r>
      <rPr>
        <sz val="11"/>
        <color theme="1"/>
        <rFont val="Calibri"/>
        <family val="2"/>
        <scheme val="minor"/>
      </rPr>
      <t>271-297.</t>
    </r>
  </si>
  <si>
    <r>
      <t xml:space="preserve">Oster, JD &amp; Schroer, FW 1979. Infiltration as influenced by irrigation water quality. </t>
    </r>
    <r>
      <rPr>
        <i/>
        <sz val="11"/>
        <color theme="1"/>
        <rFont val="Calibri"/>
        <family val="2"/>
        <scheme val="minor"/>
      </rPr>
      <t>Soil Science Society of America Journal</t>
    </r>
    <r>
      <rPr>
        <sz val="11"/>
        <color theme="1"/>
        <rFont val="Calibri"/>
        <family val="2"/>
        <scheme val="minor"/>
      </rPr>
      <t xml:space="preserve"> </t>
    </r>
    <r>
      <rPr>
        <b/>
        <sz val="11"/>
        <color theme="1"/>
        <rFont val="Calibri"/>
        <family val="2"/>
        <scheme val="minor"/>
      </rPr>
      <t xml:space="preserve">43: </t>
    </r>
    <r>
      <rPr>
        <sz val="11"/>
        <color theme="1"/>
        <rFont val="Calibri"/>
        <family val="2"/>
        <scheme val="minor"/>
      </rPr>
      <t>444-447.</t>
    </r>
  </si>
  <si>
    <r>
      <t xml:space="preserve">Shaw, RJ, Hughes, KK, Thorburn, PJ &amp; Dowling, AJ 1987. Principles of landscape, soil and water salinity - processes and management options. Part A in </t>
    </r>
    <r>
      <rPr>
        <i/>
        <sz val="11"/>
        <color theme="1"/>
        <rFont val="Calibri"/>
        <family val="2"/>
        <scheme val="minor"/>
      </rPr>
      <t>Landscape, Soil and Water Salinity, Proceedings of the Brisbane Regional Salinity Workshop</t>
    </r>
    <r>
      <rPr>
        <sz val="11"/>
        <color theme="1"/>
        <rFont val="Calibri"/>
        <family val="2"/>
        <scheme val="minor"/>
      </rPr>
      <t xml:space="preserve">, Brisbane, May 1987. Publication QC87003, Queensland Department of Primary Industries, Brisbane. </t>
    </r>
  </si>
  <si>
    <r>
      <t xml:space="preserve">Shockley, DR 1955. Capacity of soil to hold moisture. </t>
    </r>
    <r>
      <rPr>
        <i/>
        <sz val="11"/>
        <color theme="1"/>
        <rFont val="Calibri"/>
        <family val="2"/>
        <scheme val="minor"/>
      </rPr>
      <t>Agricultural Engineering</t>
    </r>
    <r>
      <rPr>
        <sz val="11"/>
        <color theme="1"/>
        <rFont val="Calibri"/>
        <family val="2"/>
        <scheme val="minor"/>
      </rPr>
      <t xml:space="preserve">, </t>
    </r>
    <r>
      <rPr>
        <b/>
        <sz val="11"/>
        <color theme="1"/>
        <rFont val="Calibri"/>
        <family val="2"/>
        <scheme val="minor"/>
      </rPr>
      <t>36</t>
    </r>
    <r>
      <rPr>
        <sz val="11"/>
        <color theme="1"/>
        <rFont val="Calibri"/>
        <family val="2"/>
        <scheme val="minor"/>
      </rPr>
      <t>:109–112.</t>
    </r>
  </si>
  <si>
    <r>
      <t xml:space="preserve">Silburn, DM, Foley, JL, Biggs, AJW, Montgomery J &amp; Gunawardena, TA 2103. The Australian cotton industry and four decades of deep drainage research: a review. </t>
    </r>
    <r>
      <rPr>
        <i/>
        <sz val="11"/>
        <color theme="1"/>
        <rFont val="Calibri"/>
        <family val="2"/>
        <scheme val="minor"/>
      </rPr>
      <t>Crop and Pasture Science</t>
    </r>
    <r>
      <rPr>
        <sz val="11"/>
        <color theme="1"/>
        <rFont val="Calibri"/>
        <family val="2"/>
        <scheme val="minor"/>
      </rPr>
      <t xml:space="preserve"> </t>
    </r>
    <r>
      <rPr>
        <b/>
        <sz val="11"/>
        <color theme="1"/>
        <rFont val="Calibri"/>
        <family val="2"/>
        <scheme val="minor"/>
      </rPr>
      <t>64:</t>
    </r>
    <r>
      <rPr>
        <sz val="11"/>
        <color theme="1"/>
        <rFont val="Calibri"/>
        <family val="2"/>
        <scheme val="minor"/>
      </rPr>
      <t>1049-1075.</t>
    </r>
  </si>
  <si>
    <r>
      <t>Soil Science Australia, Queensland Branch 2013. Measuring soil cation exchange capacity and exchangeable cations</t>
    </r>
    <r>
      <rPr>
        <i/>
        <sz val="11"/>
        <color rgb="FF211D1E"/>
        <rFont val="Calibri"/>
        <family val="2"/>
        <scheme val="minor"/>
      </rPr>
      <t xml:space="preserve">. </t>
    </r>
    <r>
      <rPr>
        <sz val="11"/>
        <color rgb="FF211D1E"/>
        <rFont val="Calibri"/>
        <family val="2"/>
        <scheme val="minor"/>
      </rPr>
      <t>Australian Society of Soil Science Incorporated. Indooroopilly.</t>
    </r>
  </si>
  <si>
    <r>
      <t xml:space="preserve">The developers of SALF2 are interested to add additional plant responses to the database where data is published or validated. Please email at </t>
    </r>
    <r>
      <rPr>
        <u/>
        <sz val="11"/>
        <color rgb="FF0070C0"/>
        <rFont val="Arial"/>
        <family val="2"/>
      </rPr>
      <t>salf2calculator@gmail.com</t>
    </r>
  </si>
  <si>
    <t>4.    Other irrigation water quality guidelines</t>
  </si>
  <si>
    <t>6.    References</t>
  </si>
  <si>
    <t>5.    Models – predictions, accuracy and uncertainty</t>
  </si>
  <si>
    <t>Return to Top of Page</t>
  </si>
  <si>
    <t>EQUATIONS</t>
  </si>
  <si>
    <t>Ref</t>
  </si>
  <si>
    <t>Equation</t>
  </si>
  <si>
    <t>Source</t>
  </si>
  <si>
    <t>Changes made in SALF2</t>
  </si>
  <si>
    <t>Equation reference</t>
  </si>
  <si>
    <r>
      <t xml:space="preserve">EC </t>
    </r>
    <r>
      <rPr>
        <vertAlign val="subscript"/>
        <sz val="11"/>
        <color theme="1"/>
        <rFont val="Arial"/>
        <family val="2"/>
      </rPr>
      <t>i+r</t>
    </r>
  </si>
  <si>
    <r>
      <t>EC</t>
    </r>
    <r>
      <rPr>
        <vertAlign val="subscript"/>
        <sz val="11"/>
        <color theme="1"/>
        <rFont val="Arial"/>
        <family val="2"/>
      </rPr>
      <t>i</t>
    </r>
    <r>
      <rPr>
        <sz val="11"/>
        <color theme="1"/>
        <rFont val="Arial"/>
        <family val="2"/>
      </rPr>
      <t xml:space="preserve"> to EC</t>
    </r>
    <r>
      <rPr>
        <vertAlign val="subscript"/>
        <sz val="11"/>
        <color theme="1"/>
        <rFont val="Arial"/>
        <family val="2"/>
      </rPr>
      <t>i+r</t>
    </r>
  </si>
  <si>
    <r>
      <t>EC</t>
    </r>
    <r>
      <rPr>
        <vertAlign val="subscript"/>
        <sz val="11"/>
        <color theme="1"/>
        <rFont val="Arial"/>
        <family val="2"/>
      </rPr>
      <t>iw</t>
    </r>
    <r>
      <rPr>
        <sz val="11"/>
        <color theme="1"/>
        <rFont val="Arial"/>
        <family val="2"/>
      </rPr>
      <t xml:space="preserve"> to EC</t>
    </r>
    <r>
      <rPr>
        <vertAlign val="subscript"/>
        <sz val="11"/>
        <color theme="1"/>
        <rFont val="Arial"/>
        <family val="2"/>
      </rPr>
      <t>i</t>
    </r>
  </si>
  <si>
    <r>
      <t>D</t>
    </r>
    <r>
      <rPr>
        <vertAlign val="subscript"/>
        <sz val="11"/>
        <color theme="1"/>
        <rFont val="Arial"/>
        <family val="2"/>
      </rPr>
      <t>iw</t>
    </r>
    <r>
      <rPr>
        <sz val="11"/>
        <color theme="1"/>
        <rFont val="Arial"/>
        <family val="2"/>
      </rPr>
      <t xml:space="preserve"> to D</t>
    </r>
    <r>
      <rPr>
        <vertAlign val="subscript"/>
        <sz val="11"/>
        <color theme="1"/>
        <rFont val="Arial"/>
        <family val="2"/>
      </rPr>
      <t>i</t>
    </r>
  </si>
  <si>
    <t>E1</t>
  </si>
  <si>
    <r>
      <t>RA =(CO</t>
    </r>
    <r>
      <rPr>
        <vertAlign val="subscript"/>
        <sz val="11"/>
        <color theme="1"/>
        <rFont val="Arial"/>
        <family val="2"/>
      </rPr>
      <t xml:space="preserve">3 </t>
    </r>
    <r>
      <rPr>
        <sz val="11"/>
        <color theme="1"/>
        <rFont val="Arial"/>
        <family val="2"/>
      </rPr>
      <t xml:space="preserve"> + HCO</t>
    </r>
    <r>
      <rPr>
        <vertAlign val="subscript"/>
        <sz val="11"/>
        <color theme="1"/>
        <rFont val="Arial"/>
        <family val="2"/>
      </rPr>
      <t>3</t>
    </r>
    <r>
      <rPr>
        <sz val="11"/>
        <color theme="1"/>
        <rFont val="Arial"/>
        <family val="2"/>
      </rPr>
      <t>) – (Ca + Mg)  All units in mmol</t>
    </r>
    <r>
      <rPr>
        <vertAlign val="subscript"/>
        <sz val="11"/>
        <color theme="1"/>
        <rFont val="Arial"/>
        <family val="2"/>
      </rPr>
      <t>c</t>
    </r>
    <r>
      <rPr>
        <sz val="11"/>
        <color theme="1"/>
        <rFont val="Arial"/>
        <family val="2"/>
      </rPr>
      <t>/L or meq/L</t>
    </r>
  </si>
  <si>
    <t>E2</t>
  </si>
  <si>
    <r>
      <t>SAR</t>
    </r>
    <r>
      <rPr>
        <vertAlign val="subscript"/>
        <sz val="11"/>
        <color theme="1"/>
        <rFont val="Arial"/>
        <family val="2"/>
      </rPr>
      <t>adj RA</t>
    </r>
  </si>
  <si>
    <r>
      <t>all units in mmol</t>
    </r>
    <r>
      <rPr>
        <vertAlign val="subscript"/>
        <sz val="11"/>
        <color theme="1"/>
        <rFont val="Arial"/>
        <family val="2"/>
      </rPr>
      <t>c</t>
    </r>
    <r>
      <rPr>
        <sz val="11"/>
        <color theme="1"/>
        <rFont val="Arial"/>
        <family val="2"/>
      </rPr>
      <t>/L</t>
    </r>
  </si>
  <si>
    <t xml:space="preserve">SAR adj for RA =  </t>
  </si>
  <si>
    <t>Where if (Ca –RA) is negative, value assumed to be zero</t>
  </si>
  <si>
    <t>eqn 9.1</t>
  </si>
  <si>
    <t>USSL (1954)</t>
  </si>
  <si>
    <t>E3</t>
  </si>
  <si>
    <r>
      <t>SAR</t>
    </r>
    <r>
      <rPr>
        <vertAlign val="subscript"/>
        <sz val="11"/>
        <color theme="1"/>
        <rFont val="Arial"/>
        <family val="2"/>
      </rPr>
      <t>adj Ca</t>
    </r>
  </si>
  <si>
    <t>E3A</t>
  </si>
  <si>
    <t>Use pCO2 = 0.0007 atm for soil surface</t>
  </si>
  <si>
    <t>Lesch &amp; Suarez (2009)</t>
  </si>
  <si>
    <t>new</t>
  </si>
  <si>
    <t>ESP from SAR</t>
  </si>
  <si>
    <t>If ESP &lt; 0.1 after using this formula, use 0.1 since the equation has a negative intercept at low SAR</t>
  </si>
  <si>
    <t>eqn 9.19</t>
  </si>
  <si>
    <t>none</t>
  </si>
  <si>
    <t>E4</t>
  </si>
  <si>
    <r>
      <t xml:space="preserve">ESP </t>
    </r>
    <r>
      <rPr>
        <vertAlign val="subscript"/>
        <sz val="11"/>
        <color theme="1"/>
        <rFont val="Arial"/>
        <family val="2"/>
      </rPr>
      <t>0.1m adj RA</t>
    </r>
  </si>
  <si>
    <r>
      <t xml:space="preserve">Uses E4 but substitutes SAR </t>
    </r>
    <r>
      <rPr>
        <vertAlign val="subscript"/>
        <sz val="11"/>
        <color theme="1"/>
        <rFont val="Arial"/>
        <family val="2"/>
      </rPr>
      <t>adj RA</t>
    </r>
    <r>
      <rPr>
        <sz val="11"/>
        <color theme="1"/>
        <rFont val="Arial"/>
        <family val="2"/>
      </rPr>
      <t xml:space="preserve"> (equation E3) value for SAR in equation E4</t>
    </r>
  </si>
  <si>
    <t>E4A</t>
  </si>
  <si>
    <r>
      <t>Uses E3A and substitutes SAR</t>
    </r>
    <r>
      <rPr>
        <vertAlign val="subscript"/>
        <sz val="11"/>
        <color theme="1"/>
        <rFont val="Arial"/>
        <family val="2"/>
      </rPr>
      <t>adjCa</t>
    </r>
    <r>
      <rPr>
        <sz val="11"/>
        <color theme="1"/>
        <rFont val="Arial"/>
        <family val="2"/>
      </rPr>
      <t xml:space="preserve"> for SAR in E4</t>
    </r>
  </si>
  <si>
    <t>Lesch &amp;</t>
  </si>
  <si>
    <t>Suarez (2009)</t>
  </si>
  <si>
    <t>E4B</t>
  </si>
  <si>
    <r>
      <t>LF</t>
    </r>
    <r>
      <rPr>
        <vertAlign val="subscript"/>
        <sz val="11"/>
        <color theme="1"/>
        <rFont val="Arial"/>
        <family val="2"/>
      </rPr>
      <t>r</t>
    </r>
  </si>
  <si>
    <t>eqn 9.5</t>
  </si>
  <si>
    <t>ANZECC,</t>
  </si>
  <si>
    <t>E5</t>
  </si>
  <si>
    <r>
      <t>Dd</t>
    </r>
    <r>
      <rPr>
        <vertAlign val="subscript"/>
        <sz val="11"/>
        <color theme="1"/>
        <rFont val="Arial"/>
        <family val="2"/>
      </rPr>
      <t>r</t>
    </r>
  </si>
  <si>
    <r>
      <t>Dd</t>
    </r>
    <r>
      <rPr>
        <vertAlign val="subscript"/>
        <sz val="11"/>
        <color theme="1"/>
        <rFont val="Arial"/>
        <family val="2"/>
      </rPr>
      <t>r</t>
    </r>
    <r>
      <rPr>
        <sz val="11"/>
        <color theme="1"/>
        <rFont val="Arial"/>
        <family val="2"/>
      </rPr>
      <t xml:space="preserve"> = LF</t>
    </r>
    <r>
      <rPr>
        <vertAlign val="subscript"/>
        <sz val="11"/>
        <color theme="1"/>
        <rFont val="Arial"/>
        <family val="2"/>
      </rPr>
      <t>r</t>
    </r>
    <r>
      <rPr>
        <sz val="11"/>
        <color theme="1"/>
        <rFont val="Arial"/>
        <family val="2"/>
      </rPr>
      <t xml:space="preserve"> * annual rainfall</t>
    </r>
  </si>
  <si>
    <t>E6</t>
  </si>
  <si>
    <t>eqn 9.7</t>
  </si>
  <si>
    <r>
      <t>LF</t>
    </r>
    <r>
      <rPr>
        <vertAlign val="subscript"/>
        <sz val="11"/>
        <color theme="1"/>
        <rFont val="Arial"/>
        <family val="2"/>
      </rPr>
      <t>f</t>
    </r>
    <r>
      <rPr>
        <sz val="11"/>
        <color theme="1"/>
        <rFont val="Arial"/>
        <family val="2"/>
      </rPr>
      <t xml:space="preserve"> changed to LF</t>
    </r>
    <r>
      <rPr>
        <vertAlign val="subscript"/>
        <sz val="11"/>
        <color theme="1"/>
        <rFont val="Arial"/>
        <family val="2"/>
      </rPr>
      <t>i+r</t>
    </r>
    <r>
      <rPr>
        <sz val="11"/>
        <color theme="1"/>
        <rFont val="Arial"/>
        <family val="2"/>
      </rPr>
      <t xml:space="preserve"> and not a % but a fraction of 1</t>
    </r>
  </si>
  <si>
    <r>
      <t>LF</t>
    </r>
    <r>
      <rPr>
        <vertAlign val="subscript"/>
        <sz val="11"/>
        <color theme="1"/>
        <rFont val="Arial"/>
        <family val="2"/>
      </rPr>
      <t>i</t>
    </r>
    <r>
      <rPr>
        <sz val="11"/>
        <color theme="1"/>
        <rFont val="Arial"/>
        <family val="2"/>
      </rPr>
      <t xml:space="preserve"> changed to LF</t>
    </r>
    <r>
      <rPr>
        <vertAlign val="subscript"/>
        <sz val="11"/>
        <color theme="1"/>
        <rFont val="Arial"/>
        <family val="2"/>
      </rPr>
      <t>r</t>
    </r>
    <r>
      <rPr>
        <sz val="11"/>
        <color theme="1"/>
        <rFont val="Arial"/>
        <family val="2"/>
      </rPr>
      <t xml:space="preserve"> from E5</t>
    </r>
  </si>
  <si>
    <r>
      <t>EC</t>
    </r>
    <r>
      <rPr>
        <vertAlign val="subscript"/>
        <sz val="11"/>
        <color theme="1"/>
        <rFont val="Arial"/>
        <family val="2"/>
      </rPr>
      <t xml:space="preserve">i </t>
    </r>
    <r>
      <rPr>
        <sz val="11"/>
        <color theme="1"/>
        <rFont val="Arial"/>
        <family val="2"/>
      </rPr>
      <t>changed to EC</t>
    </r>
    <r>
      <rPr>
        <vertAlign val="subscript"/>
        <sz val="11"/>
        <color theme="1"/>
        <rFont val="Arial"/>
        <family val="2"/>
      </rPr>
      <t>i+r</t>
    </r>
  </si>
  <si>
    <t>E7</t>
  </si>
  <si>
    <r>
      <t>Dd</t>
    </r>
    <r>
      <rPr>
        <vertAlign val="subscript"/>
        <sz val="11"/>
        <color theme="1"/>
        <rFont val="Arial"/>
        <family val="2"/>
      </rPr>
      <t>i+r</t>
    </r>
  </si>
  <si>
    <t>E7 * quantity rainfall + irrigation (mm)</t>
  </si>
  <si>
    <t>E8</t>
  </si>
  <si>
    <r>
      <t>Dd</t>
    </r>
    <r>
      <rPr>
        <vertAlign val="subscript"/>
        <sz val="11"/>
        <color theme="1"/>
        <rFont val="Arial"/>
        <family val="2"/>
      </rPr>
      <t xml:space="preserve">i+r </t>
    </r>
    <r>
      <rPr>
        <sz val="11"/>
        <color theme="1"/>
        <rFont val="Arial"/>
        <family val="2"/>
      </rPr>
      <t>/ Dd</t>
    </r>
    <r>
      <rPr>
        <vertAlign val="subscript"/>
        <sz val="11"/>
        <color theme="1"/>
        <rFont val="Arial"/>
        <family val="2"/>
      </rPr>
      <t>r</t>
    </r>
  </si>
  <si>
    <t>ratio as simple calculation E8/E6</t>
  </si>
  <si>
    <t>E8A</t>
  </si>
  <si>
    <r>
      <t>Dd</t>
    </r>
    <r>
      <rPr>
        <vertAlign val="subscript"/>
        <sz val="11"/>
        <color theme="1"/>
        <rFont val="Arial"/>
        <family val="2"/>
      </rPr>
      <t>r</t>
    </r>
    <r>
      <rPr>
        <sz val="11"/>
        <color theme="1"/>
        <rFont val="Arial"/>
        <family val="2"/>
      </rPr>
      <t xml:space="preserve"> EC</t>
    </r>
    <r>
      <rPr>
        <vertAlign val="subscript"/>
        <sz val="11"/>
        <color theme="1"/>
        <rFont val="Arial"/>
        <family val="2"/>
      </rPr>
      <t>s</t>
    </r>
    <r>
      <rPr>
        <sz val="11"/>
        <color theme="1"/>
        <rFont val="Arial"/>
        <family val="2"/>
      </rPr>
      <t xml:space="preserve"> = EC</t>
    </r>
    <r>
      <rPr>
        <vertAlign val="subscript"/>
        <sz val="11"/>
        <color theme="1"/>
        <rFont val="Arial"/>
        <family val="2"/>
      </rPr>
      <t>r</t>
    </r>
    <r>
      <rPr>
        <sz val="11"/>
        <color theme="1"/>
        <rFont val="Arial"/>
        <family val="2"/>
      </rPr>
      <t>/ LF</t>
    </r>
    <r>
      <rPr>
        <vertAlign val="subscript"/>
        <sz val="11"/>
        <color theme="1"/>
        <rFont val="Arial"/>
        <family val="2"/>
      </rPr>
      <t>r</t>
    </r>
  </si>
  <si>
    <t>eqn 9.4</t>
  </si>
  <si>
    <t>E9</t>
  </si>
  <si>
    <r>
      <t>Dd</t>
    </r>
    <r>
      <rPr>
        <vertAlign val="subscript"/>
        <sz val="11"/>
        <color theme="1"/>
        <rFont val="Arial"/>
        <family val="2"/>
      </rPr>
      <t>r</t>
    </r>
    <r>
      <rPr>
        <sz val="11"/>
        <color theme="1"/>
        <rFont val="Arial"/>
        <family val="2"/>
      </rPr>
      <t xml:space="preserve"> EC</t>
    </r>
    <r>
      <rPr>
        <vertAlign val="subscript"/>
        <sz val="11"/>
        <color theme="1"/>
        <rFont val="Arial"/>
        <family val="2"/>
      </rPr>
      <t>se</t>
    </r>
    <r>
      <rPr>
        <sz val="11"/>
        <color theme="1"/>
        <rFont val="Arial"/>
        <family val="2"/>
      </rPr>
      <t xml:space="preserve"> = Dd</t>
    </r>
    <r>
      <rPr>
        <vertAlign val="subscript"/>
        <sz val="11"/>
        <color theme="1"/>
        <rFont val="Arial"/>
        <family val="2"/>
      </rPr>
      <t>r</t>
    </r>
    <r>
      <rPr>
        <sz val="11"/>
        <color theme="1"/>
        <rFont val="Arial"/>
        <family val="2"/>
      </rPr>
      <t xml:space="preserve"> EC</t>
    </r>
    <r>
      <rPr>
        <vertAlign val="subscript"/>
        <sz val="11"/>
        <color theme="1"/>
        <rFont val="Arial"/>
        <family val="2"/>
      </rPr>
      <t xml:space="preserve">s </t>
    </r>
    <r>
      <rPr>
        <sz val="11"/>
        <color theme="1"/>
        <rFont val="Arial"/>
        <family val="2"/>
      </rPr>
      <t>/ 2.2</t>
    </r>
  </si>
  <si>
    <t>eqn 9.17</t>
  </si>
  <si>
    <t>E10</t>
  </si>
  <si>
    <r>
      <t>Dd</t>
    </r>
    <r>
      <rPr>
        <vertAlign val="subscript"/>
        <sz val="11"/>
        <color theme="1"/>
        <rFont val="Arial"/>
        <family val="2"/>
      </rPr>
      <t>i+r</t>
    </r>
    <r>
      <rPr>
        <sz val="11"/>
        <color theme="1"/>
        <rFont val="Arial"/>
        <family val="2"/>
      </rPr>
      <t xml:space="preserve"> EC</t>
    </r>
    <r>
      <rPr>
        <vertAlign val="subscript"/>
        <sz val="11"/>
        <color theme="1"/>
        <rFont val="Arial"/>
        <family val="2"/>
      </rPr>
      <t>s</t>
    </r>
    <r>
      <rPr>
        <sz val="11"/>
        <color theme="1"/>
        <rFont val="Arial"/>
        <family val="2"/>
      </rPr>
      <t xml:space="preserve"> = EC</t>
    </r>
    <r>
      <rPr>
        <vertAlign val="subscript"/>
        <sz val="11"/>
        <color theme="1"/>
        <rFont val="Arial"/>
        <family val="2"/>
      </rPr>
      <t>i+r</t>
    </r>
    <r>
      <rPr>
        <sz val="11"/>
        <color theme="1"/>
        <rFont val="Arial"/>
        <family val="2"/>
      </rPr>
      <t>/ LF</t>
    </r>
    <r>
      <rPr>
        <vertAlign val="subscript"/>
        <sz val="11"/>
        <color theme="1"/>
        <rFont val="Arial"/>
        <family val="2"/>
      </rPr>
      <t>i+r</t>
    </r>
  </si>
  <si>
    <t>E11</t>
  </si>
  <si>
    <t>E12</t>
  </si>
  <si>
    <t xml:space="preserve">Use eqn 9.22 (Miyamoto,1980) then 9.19 to calculate a new ESP to then use in E7 </t>
  </si>
  <si>
    <t>eqn 9.22</t>
  </si>
  <si>
    <r>
      <t>SAR</t>
    </r>
    <r>
      <rPr>
        <vertAlign val="subscript"/>
        <sz val="11"/>
        <color theme="1"/>
        <rFont val="Arial"/>
        <family val="2"/>
      </rPr>
      <t xml:space="preserve">iw </t>
    </r>
    <r>
      <rPr>
        <sz val="11"/>
        <color theme="1"/>
        <rFont val="Arial"/>
        <family val="2"/>
      </rPr>
      <t>becomes SAR</t>
    </r>
    <r>
      <rPr>
        <vertAlign val="subscript"/>
        <sz val="11"/>
        <color theme="1"/>
        <rFont val="Arial"/>
        <family val="2"/>
      </rPr>
      <t>i</t>
    </r>
  </si>
  <si>
    <t>new in SALF2</t>
  </si>
  <si>
    <t>E13</t>
  </si>
  <si>
    <r>
      <t>Use E3A Lesch &amp; Suarez (2009) equation but add LF (in the form of eqn 3.48 of Suarez &amp; Jurinak (2012) and use P</t>
    </r>
    <r>
      <rPr>
        <vertAlign val="subscript"/>
        <sz val="11"/>
        <color theme="1"/>
        <rFont val="Arial"/>
        <family val="2"/>
      </rPr>
      <t>CO2</t>
    </r>
    <r>
      <rPr>
        <sz val="11"/>
        <color theme="1"/>
        <rFont val="Arial"/>
        <family val="2"/>
      </rPr>
      <t xml:space="preserve"> values of 0.001 atm for soils with clay &lt; 40% and 0.005 for clay soils with clay ≥ 40%. Na/LF and Mg/LF into final SAR </t>
    </r>
    <r>
      <rPr>
        <vertAlign val="subscript"/>
        <sz val="11"/>
        <color theme="1"/>
        <rFont val="Arial"/>
        <family val="2"/>
      </rPr>
      <t>adjCa</t>
    </r>
    <r>
      <rPr>
        <sz val="11"/>
        <color theme="1"/>
        <rFont val="Arial"/>
        <family val="2"/>
      </rPr>
      <t xml:space="preserve"> formula.</t>
    </r>
  </si>
  <si>
    <t>Then use SAR to ESP eqn 9.19 from E13 above</t>
  </si>
  <si>
    <t>Lesch &amp; Suarez (2009) &amp; Suarez &amp; Jurinak (2012)</t>
  </si>
  <si>
    <t>F becomes 1/LF</t>
  </si>
  <si>
    <r>
      <t>0.215X(P</t>
    </r>
    <r>
      <rPr>
        <vertAlign val="subscript"/>
        <sz val="11"/>
        <color theme="1"/>
        <rFont val="Arial"/>
        <family val="2"/>
      </rPr>
      <t>CO2</t>
    </r>
    <r>
      <rPr>
        <sz val="11"/>
        <color theme="1"/>
        <rFont val="Arial"/>
        <family val="2"/>
      </rPr>
      <t>)</t>
    </r>
    <r>
      <rPr>
        <vertAlign val="superscript"/>
        <sz val="11"/>
        <color theme="1"/>
        <rFont val="Arial"/>
        <family val="2"/>
      </rPr>
      <t>1/3</t>
    </r>
  </si>
  <si>
    <r>
      <t>becomes Ca</t>
    </r>
    <r>
      <rPr>
        <vertAlign val="subscript"/>
        <sz val="11"/>
        <color theme="1"/>
        <rFont val="Arial"/>
        <family val="2"/>
      </rPr>
      <t>eq</t>
    </r>
    <r>
      <rPr>
        <sz val="11"/>
        <color theme="1"/>
        <rFont val="Arial"/>
        <family val="2"/>
      </rPr>
      <t xml:space="preserve"> as in E3A</t>
    </r>
  </si>
  <si>
    <t>New in SALF2</t>
  </si>
  <si>
    <t>E13A</t>
  </si>
  <si>
    <t>Changed 0.282 to 0.022 (see changes made) then use</t>
  </si>
  <si>
    <t>eqn 9:12</t>
  </si>
  <si>
    <t>eqn 9.11</t>
  </si>
  <si>
    <t>change coeff 0.282 to 0.022</t>
  </si>
  <si>
    <t>not a % but a fraction.</t>
  </si>
  <si>
    <r>
      <t>Change EC</t>
    </r>
    <r>
      <rPr>
        <vertAlign val="subscript"/>
        <sz val="11"/>
        <color theme="1"/>
        <rFont val="Arial"/>
        <family val="2"/>
      </rPr>
      <t>iw</t>
    </r>
    <r>
      <rPr>
        <sz val="11"/>
        <color theme="1"/>
        <rFont val="Arial"/>
        <family val="2"/>
      </rPr>
      <t xml:space="preserve"> to EC</t>
    </r>
    <r>
      <rPr>
        <vertAlign val="subscript"/>
        <sz val="11"/>
        <color theme="1"/>
        <rFont val="Arial"/>
        <family val="2"/>
      </rPr>
      <t>i+r</t>
    </r>
  </si>
  <si>
    <r>
      <t>LF is LF</t>
    </r>
    <r>
      <rPr>
        <vertAlign val="subscript"/>
        <sz val="11"/>
        <color theme="1"/>
        <rFont val="Arial"/>
        <family val="2"/>
      </rPr>
      <t>i+r</t>
    </r>
    <r>
      <rPr>
        <sz val="11"/>
        <color theme="1"/>
        <rFont val="Arial"/>
        <family val="2"/>
      </rPr>
      <t xml:space="preserve"> for irrigation</t>
    </r>
  </si>
  <si>
    <t>E14</t>
  </si>
  <si>
    <r>
      <t>LF</t>
    </r>
    <r>
      <rPr>
        <vertAlign val="subscript"/>
        <sz val="11"/>
        <color theme="1"/>
        <rFont val="Arial"/>
        <family val="2"/>
      </rPr>
      <t>wuw</t>
    </r>
    <r>
      <rPr>
        <sz val="11"/>
        <color theme="1"/>
        <rFont val="Arial"/>
        <family val="2"/>
      </rPr>
      <t xml:space="preserve"> = (0.956 LF + 0.037)</t>
    </r>
    <r>
      <rPr>
        <vertAlign val="superscript"/>
        <sz val="11"/>
        <color theme="1"/>
        <rFont val="Arial"/>
        <family val="2"/>
      </rPr>
      <t>0.5</t>
    </r>
  </si>
  <si>
    <r>
      <t>EC</t>
    </r>
    <r>
      <rPr>
        <vertAlign val="subscript"/>
        <sz val="11"/>
        <color theme="1"/>
        <rFont val="Arial"/>
        <family val="2"/>
      </rPr>
      <t xml:space="preserve">se wuw </t>
    </r>
    <r>
      <rPr>
        <sz val="11"/>
        <color theme="1"/>
        <rFont val="Arial"/>
        <family val="2"/>
      </rPr>
      <t>= EC</t>
    </r>
    <r>
      <rPr>
        <vertAlign val="subscript"/>
        <sz val="11"/>
        <color theme="1"/>
        <rFont val="Arial"/>
        <family val="2"/>
      </rPr>
      <t xml:space="preserve">i+r </t>
    </r>
    <r>
      <rPr>
        <sz val="11"/>
        <color theme="1"/>
        <rFont val="Arial"/>
        <family val="2"/>
      </rPr>
      <t>/(2.2* LF</t>
    </r>
    <r>
      <rPr>
        <vertAlign val="subscript"/>
        <sz val="11"/>
        <color theme="1"/>
        <rFont val="Arial"/>
        <family val="2"/>
      </rPr>
      <t>wuw</t>
    </r>
    <r>
      <rPr>
        <sz val="11"/>
        <color theme="1"/>
        <rFont val="Arial"/>
        <family val="2"/>
      </rPr>
      <t>)</t>
    </r>
  </si>
  <si>
    <t>eqn 4.9</t>
  </si>
  <si>
    <t>Shaw et al (1987)</t>
  </si>
  <si>
    <t>E15</t>
  </si>
  <si>
    <t>not used</t>
  </si>
  <si>
    <t>E16</t>
  </si>
  <si>
    <t>values &gt; 100% equal 100% yield</t>
  </si>
  <si>
    <t>eqn 9.23</t>
  </si>
  <si>
    <t>+ table 9.2.10</t>
  </si>
  <si>
    <t>won’t need the 90% yield reduction</t>
  </si>
  <si>
    <t>E17</t>
  </si>
  <si>
    <t>Use equation from E13 (eqn 9.22) without the ESP conversion (eqn 9.19) and report it directly.</t>
  </si>
  <si>
    <t>Need to add iterative solution in future</t>
  </si>
  <si>
    <t>subscript iw becomes i+r</t>
  </si>
  <si>
    <t>E18</t>
  </si>
  <si>
    <t>E18A</t>
  </si>
  <si>
    <r>
      <t>Use E13A Lesch &amp; Suarez (2009) equation with LF and use P</t>
    </r>
    <r>
      <rPr>
        <vertAlign val="subscript"/>
        <sz val="11"/>
        <color theme="1"/>
        <rFont val="Arial"/>
        <family val="2"/>
      </rPr>
      <t>CO2</t>
    </r>
    <r>
      <rPr>
        <sz val="11"/>
        <color theme="1"/>
        <rFont val="Arial"/>
        <family val="2"/>
      </rPr>
      <t xml:space="preserve"> values of 0.001 atm for soils with clay ≤ 40% and 0.005 for clay soils with clay &gt; 40%. No SAR to ESP conversion.</t>
    </r>
  </si>
  <si>
    <t>E19</t>
  </si>
  <si>
    <t>E20</t>
  </si>
  <si>
    <t>Salinity Management Handbook equation per 10 cm depth.</t>
  </si>
  <si>
    <t>Convert SAR of irrigation to ESP using</t>
  </si>
  <si>
    <t>ie</t>
  </si>
  <si>
    <r>
      <t>((ESP</t>
    </r>
    <r>
      <rPr>
        <vertAlign val="subscript"/>
        <sz val="11"/>
        <color theme="1"/>
        <rFont val="Arial"/>
        <family val="2"/>
      </rPr>
      <t>i+r</t>
    </r>
    <r>
      <rPr>
        <sz val="11"/>
        <color theme="1"/>
        <rFont val="Arial"/>
        <family val="2"/>
      </rPr>
      <t xml:space="preserve"> -5)/100)*CEC </t>
    </r>
    <r>
      <rPr>
        <vertAlign val="subscript"/>
        <sz val="11"/>
        <color theme="1"/>
        <rFont val="Arial"/>
        <family val="2"/>
      </rPr>
      <t>0.1m</t>
    </r>
    <r>
      <rPr>
        <sz val="11"/>
        <color theme="1"/>
        <rFont val="Arial"/>
        <family val="2"/>
      </rPr>
      <t xml:space="preserve"> *1.375*1.111*1.3 = GR tonnes gypsum</t>
    </r>
  </si>
  <si>
    <t>where 0.9 = 90% purity of gypsum ie multiply by 1.111</t>
  </si>
  <si>
    <t>1.3 an efficiency of replacement factor</t>
  </si>
  <si>
    <t>SMH (2011)</t>
  </si>
  <si>
    <t>E21</t>
  </si>
  <si>
    <r>
      <t xml:space="preserve">GR SMH ESP </t>
    </r>
    <r>
      <rPr>
        <vertAlign val="subscript"/>
        <sz val="11"/>
        <color theme="1"/>
        <rFont val="Arial"/>
        <family val="2"/>
      </rPr>
      <t>adj Ca</t>
    </r>
  </si>
  <si>
    <r>
      <t>Convert SAR</t>
    </r>
    <r>
      <rPr>
        <vertAlign val="subscript"/>
        <sz val="11"/>
        <color theme="1"/>
        <rFont val="Arial"/>
        <family val="2"/>
      </rPr>
      <t xml:space="preserve">adj Ca </t>
    </r>
    <r>
      <rPr>
        <sz val="11"/>
        <color theme="1"/>
        <rFont val="Arial"/>
        <family val="2"/>
      </rPr>
      <t>(equation E3A) of irrigation to ESP using E4</t>
    </r>
  </si>
  <si>
    <t>SMH (2011) and Lesch &amp; Suarez (2009)</t>
  </si>
  <si>
    <t>E21A</t>
  </si>
  <si>
    <t>Use SAR to ESP equation as in E21 to convert SAR of irrigation water</t>
  </si>
  <si>
    <t>Oster (1994) equation</t>
  </si>
  <si>
    <r>
      <t>GR= 0.0086*F*D*BD*CEC*(ESP</t>
    </r>
    <r>
      <rPr>
        <vertAlign val="subscript"/>
        <sz val="11"/>
        <color theme="1"/>
        <rFont val="Arial"/>
        <family val="2"/>
      </rPr>
      <t>i+r</t>
    </r>
    <r>
      <rPr>
        <sz val="11"/>
        <color theme="1"/>
        <rFont val="Arial"/>
        <family val="2"/>
      </rPr>
      <t xml:space="preserve"> – ESP of 5)</t>
    </r>
  </si>
  <si>
    <t>where F= Ca-Na exchange efficiency = 1.3 (for</t>
  </si>
  <si>
    <t>D= depth interval (m)</t>
  </si>
  <si>
    <r>
      <t>BD = Bulk density units are Mg/m</t>
    </r>
    <r>
      <rPr>
        <vertAlign val="superscript"/>
        <sz val="11"/>
        <color theme="1"/>
        <rFont val="Arial"/>
        <family val="2"/>
      </rPr>
      <t>3</t>
    </r>
    <r>
      <rPr>
        <sz val="11"/>
        <color theme="1"/>
        <rFont val="Arial"/>
        <family val="2"/>
      </rPr>
      <t xml:space="preserve">  ie (kg/m</t>
    </r>
    <r>
      <rPr>
        <vertAlign val="superscript"/>
        <sz val="11"/>
        <color theme="1"/>
        <rFont val="Arial"/>
        <family val="2"/>
      </rPr>
      <t>3</t>
    </r>
    <r>
      <rPr>
        <sz val="11"/>
        <color theme="1"/>
        <rFont val="Arial"/>
        <family val="2"/>
      </rPr>
      <t>/1000)</t>
    </r>
  </si>
  <si>
    <r>
      <t>CEC = CEC units are mmol</t>
    </r>
    <r>
      <rPr>
        <vertAlign val="subscript"/>
        <sz val="11"/>
        <color theme="1"/>
        <rFont val="Arial"/>
        <family val="2"/>
      </rPr>
      <t>c</t>
    </r>
    <r>
      <rPr>
        <sz val="11"/>
        <color theme="1"/>
        <rFont val="Arial"/>
        <family val="2"/>
      </rPr>
      <t>/kg ie cmol</t>
    </r>
    <r>
      <rPr>
        <vertAlign val="subscript"/>
        <sz val="11"/>
        <color theme="1"/>
        <rFont val="Arial"/>
        <family val="2"/>
      </rPr>
      <t>c</t>
    </r>
    <r>
      <rPr>
        <sz val="11"/>
        <color theme="1"/>
        <rFont val="Arial"/>
        <family val="2"/>
      </rPr>
      <t>/kg*10</t>
    </r>
  </si>
  <si>
    <r>
      <t>(ESP</t>
    </r>
    <r>
      <rPr>
        <vertAlign val="subscript"/>
        <sz val="11"/>
        <color theme="1"/>
        <rFont val="Arial"/>
        <family val="2"/>
      </rPr>
      <t>i+r</t>
    </r>
    <r>
      <rPr>
        <sz val="11"/>
        <color theme="1"/>
        <rFont val="Arial"/>
        <family val="2"/>
      </rPr>
      <t xml:space="preserve"> – ESP of 5) = difference between estimated ESP under irrigation and ESP 5 from permissible SAR table of ANZECC</t>
    </r>
  </si>
  <si>
    <t>Thus equation becomes</t>
  </si>
  <si>
    <r>
      <t>GR in tonnes per hectare = 0.0086*1.3* 0.1* (BD</t>
    </r>
    <r>
      <rPr>
        <vertAlign val="subscript"/>
        <sz val="11"/>
        <color theme="1"/>
        <rFont val="Arial"/>
        <family val="2"/>
      </rPr>
      <t>0.1m</t>
    </r>
    <r>
      <rPr>
        <sz val="11"/>
        <color theme="1"/>
        <rFont val="Arial"/>
        <family val="2"/>
      </rPr>
      <t>/1000)* (CEC*10)* (ESP</t>
    </r>
    <r>
      <rPr>
        <vertAlign val="subscript"/>
        <sz val="11"/>
        <color theme="1"/>
        <rFont val="Arial"/>
        <family val="2"/>
      </rPr>
      <t>i+r</t>
    </r>
    <r>
      <rPr>
        <sz val="11"/>
        <color theme="1"/>
        <rFont val="Arial"/>
        <family val="2"/>
      </rPr>
      <t xml:space="preserve"> – ESP of 5)</t>
    </r>
  </si>
  <si>
    <t>Use air content and BD formula from equation E38 to calculate BD and,</t>
  </si>
  <si>
    <r>
      <t>If no BD value available from input data, assume 1400 kg/m</t>
    </r>
    <r>
      <rPr>
        <vertAlign val="superscript"/>
        <sz val="11"/>
        <color theme="1"/>
        <rFont val="Arial"/>
        <family val="2"/>
      </rPr>
      <t>3</t>
    </r>
    <r>
      <rPr>
        <sz val="11"/>
        <color theme="1"/>
        <rFont val="Arial"/>
        <family val="2"/>
      </rPr>
      <t>.</t>
    </r>
  </si>
  <si>
    <t>Oster (1994)</t>
  </si>
  <si>
    <t>E21B</t>
  </si>
  <si>
    <r>
      <t>GR Oster ESP</t>
    </r>
    <r>
      <rPr>
        <vertAlign val="subscript"/>
        <sz val="11"/>
        <color theme="1"/>
        <rFont val="Arial"/>
        <family val="2"/>
      </rPr>
      <t>adj Ca</t>
    </r>
  </si>
  <si>
    <r>
      <t>Use SAR to ESP equation as in E21B to convert SAR</t>
    </r>
    <r>
      <rPr>
        <vertAlign val="subscript"/>
        <sz val="11"/>
        <color theme="1"/>
        <rFont val="Arial"/>
        <family val="2"/>
      </rPr>
      <t>adj Ca</t>
    </r>
    <r>
      <rPr>
        <sz val="11"/>
        <color theme="1"/>
        <rFont val="Arial"/>
        <family val="2"/>
      </rPr>
      <t xml:space="preserve"> (equation E3A) of irrigation water using Oster (1994) equation</t>
    </r>
  </si>
  <si>
    <t>E21C</t>
  </si>
  <si>
    <t>E22</t>
  </si>
  <si>
    <t>E23</t>
  </si>
  <si>
    <r>
      <t>EC</t>
    </r>
    <r>
      <rPr>
        <vertAlign val="subscript"/>
        <sz val="11"/>
        <color theme="1"/>
        <rFont val="Arial"/>
        <family val="2"/>
      </rPr>
      <t>se</t>
    </r>
  </si>
  <si>
    <t>Shaw (1994)</t>
  </si>
  <si>
    <t>E24</t>
  </si>
  <si>
    <r>
      <t>EC</t>
    </r>
    <r>
      <rPr>
        <vertAlign val="subscript"/>
        <sz val="11"/>
        <color theme="1"/>
        <rFont val="Arial"/>
        <family val="2"/>
      </rPr>
      <t>s</t>
    </r>
  </si>
  <si>
    <t>use E24 multiplied by 2.2</t>
  </si>
  <si>
    <t>E25</t>
  </si>
  <si>
    <t>use E24 then E25 then 9.2 first part</t>
  </si>
  <si>
    <r>
      <t>ie LF = EC</t>
    </r>
    <r>
      <rPr>
        <vertAlign val="subscript"/>
        <sz val="11"/>
        <color theme="1"/>
        <rFont val="Arial"/>
        <family val="2"/>
      </rPr>
      <t xml:space="preserve">i+r </t>
    </r>
    <r>
      <rPr>
        <sz val="11"/>
        <color theme="1"/>
        <rFont val="Arial"/>
        <family val="2"/>
      </rPr>
      <t>/ EC</t>
    </r>
    <r>
      <rPr>
        <vertAlign val="subscript"/>
        <sz val="11"/>
        <color theme="1"/>
        <rFont val="Arial"/>
        <family val="2"/>
      </rPr>
      <t>s</t>
    </r>
    <r>
      <rPr>
        <sz val="11"/>
        <color theme="1"/>
        <rFont val="Arial"/>
        <family val="2"/>
      </rPr>
      <t xml:space="preserve"> </t>
    </r>
    <r>
      <rPr>
        <vertAlign val="subscript"/>
        <sz val="11"/>
        <color theme="1"/>
        <rFont val="Arial"/>
        <family val="2"/>
      </rPr>
      <t>at 0.9 m</t>
    </r>
  </si>
  <si>
    <t>change</t>
  </si>
  <si>
    <t>subscripts</t>
  </si>
  <si>
    <t>E26</t>
  </si>
  <si>
    <t>ADMC = 1.34 + 0.15 CEC</t>
  </si>
  <si>
    <t>as %</t>
  </si>
  <si>
    <t>(g/100g)</t>
  </si>
  <si>
    <t>E27</t>
  </si>
  <si>
    <t>ADMC = -1.37 + 0.42 (1500kPa)</t>
  </si>
  <si>
    <t>E28</t>
  </si>
  <si>
    <r>
      <t>ADMC = 0.59 + 0.016 clay</t>
    </r>
    <r>
      <rPr>
        <vertAlign val="superscript"/>
        <sz val="11"/>
        <color theme="1"/>
        <rFont val="Arial"/>
        <family val="2"/>
      </rPr>
      <t>1.5</t>
    </r>
  </si>
  <si>
    <t>E29</t>
  </si>
  <si>
    <t>SP = 30.34 + 6.57 ADMC</t>
  </si>
  <si>
    <t>E30</t>
  </si>
  <si>
    <t>SP = 33.21 + 1.03 CEC</t>
  </si>
  <si>
    <t>E31</t>
  </si>
  <si>
    <t>Wmax = 8.04 + 3.08 ADMC</t>
  </si>
  <si>
    <t>E32</t>
  </si>
  <si>
    <t>Wmax = 12.18 + 0.43 CEC</t>
  </si>
  <si>
    <t>E33</t>
  </si>
  <si>
    <t>Wmax = 5.48 + 1.23 (1500kPa)</t>
  </si>
  <si>
    <t>E34</t>
  </si>
  <si>
    <r>
      <t>Wmax = (2.60 + 0.057 clay )</t>
    </r>
    <r>
      <rPr>
        <vertAlign val="superscript"/>
        <sz val="11"/>
        <color theme="1"/>
        <rFont val="Arial"/>
        <family val="2"/>
      </rPr>
      <t>2</t>
    </r>
  </si>
  <si>
    <t>E35</t>
  </si>
  <si>
    <t>Wmin = 1500kPa</t>
  </si>
  <si>
    <t>E36</t>
  </si>
  <si>
    <t>E37</t>
  </si>
  <si>
    <r>
      <t>BD</t>
    </r>
    <r>
      <rPr>
        <vertAlign val="subscript"/>
        <sz val="11"/>
        <color theme="1"/>
        <rFont val="Arial"/>
        <family val="2"/>
      </rPr>
      <t>@Wmax</t>
    </r>
  </si>
  <si>
    <t xml:space="preserve">    </t>
  </si>
  <si>
    <t>Air content at Wmax = 1000- (0.852+0.0012*clay%)*1000</t>
  </si>
  <si>
    <t>Thus if air content 0.05 = 950 in the above equation units that is</t>
  </si>
  <si>
    <r>
      <t>BD</t>
    </r>
    <r>
      <rPr>
        <vertAlign val="subscript"/>
        <sz val="11"/>
        <color theme="1"/>
        <rFont val="Arial"/>
        <family val="2"/>
      </rPr>
      <t xml:space="preserve">@Wmax </t>
    </r>
    <r>
      <rPr>
        <sz val="11"/>
        <color theme="1"/>
        <rFont val="Arial"/>
        <family val="2"/>
      </rPr>
      <t xml:space="preserve"> = 950 / (0.3774 + W</t>
    </r>
    <r>
      <rPr>
        <vertAlign val="subscript"/>
        <sz val="11"/>
        <color theme="1"/>
        <rFont val="Arial"/>
        <family val="2"/>
      </rPr>
      <t>max</t>
    </r>
    <r>
      <rPr>
        <sz val="11"/>
        <color theme="1"/>
        <rFont val="Arial"/>
        <family val="2"/>
      </rPr>
      <t>)</t>
    </r>
  </si>
  <si>
    <t>Divide Wmax by 100 to go from % to  kg/kg</t>
  </si>
  <si>
    <t>BD increases with depth so is an approximation only unless depth increments are used for calculation from Shaw and Yule (1978)</t>
  </si>
  <si>
    <t>Gardner et al (1998)</t>
  </si>
  <si>
    <r>
      <t>BD in kg/m</t>
    </r>
    <r>
      <rPr>
        <vertAlign val="superscript"/>
        <sz val="11"/>
        <color theme="1"/>
        <rFont val="Arial"/>
        <family val="2"/>
      </rPr>
      <t>3</t>
    </r>
  </si>
  <si>
    <r>
      <t>W</t>
    </r>
    <r>
      <rPr>
        <vertAlign val="subscript"/>
        <sz val="11"/>
        <color theme="1"/>
        <rFont val="Arial"/>
        <family val="2"/>
      </rPr>
      <t>max</t>
    </r>
    <r>
      <rPr>
        <sz val="11"/>
        <color theme="1"/>
        <rFont val="Arial"/>
        <family val="2"/>
      </rPr>
      <t xml:space="preserve"> in kg/kg</t>
    </r>
  </si>
  <si>
    <t>E38</t>
  </si>
  <si>
    <r>
      <t>PAWC = (Wmax –Wmin)* BD</t>
    </r>
    <r>
      <rPr>
        <vertAlign val="subscript"/>
        <sz val="11"/>
        <color theme="1"/>
        <rFont val="Arial"/>
        <family val="2"/>
      </rPr>
      <t xml:space="preserve">@Wmax </t>
    </r>
    <r>
      <rPr>
        <sz val="11"/>
        <color theme="1"/>
        <rFont val="Arial"/>
        <family val="2"/>
      </rPr>
      <t xml:space="preserve">  Generic equation if no depth profile data</t>
    </r>
  </si>
  <si>
    <t>Wmax and Wmin values are kg/kg ie %/100.</t>
  </si>
  <si>
    <t>Final result is multiplied by 10 for each 10 cm depth increment</t>
  </si>
  <si>
    <t>E39</t>
  </si>
  <si>
    <t>PAWC (Shaw &amp; Yule) using 0.1 m depth increments. If depth increments are missing, infill with adjacent increment values to the depth of 1 m. 1500 kPa is in kg/kg for these equations therefore %/100.</t>
  </si>
  <si>
    <t>Wmin = -0.0176 + 0.22 depth + 1.0054 ((1500kPa)/100) depth in m</t>
  </si>
  <si>
    <t>depth 0 &lt; depth &lt; 1   - report in column1, then in column 2 Wmax column 3 BD (based on each depth increment using BD equation in E38 and the Wmax calculation below) then column 4 is PAWC as cumulative sum with depth to 1 m.</t>
  </si>
  <si>
    <r>
      <t>Wmax = 0.124 -0.265*Depth + 0.160*Depth</t>
    </r>
    <r>
      <rPr>
        <vertAlign val="superscript"/>
        <sz val="11"/>
        <color theme="1"/>
        <rFont val="Arial"/>
        <family val="2"/>
      </rPr>
      <t>2</t>
    </r>
    <r>
      <rPr>
        <sz val="11"/>
        <color theme="1"/>
        <rFont val="Arial"/>
        <family val="2"/>
      </rPr>
      <t xml:space="preserve"> +1.284*((1500kPa)/100)</t>
    </r>
  </si>
  <si>
    <t>Shaw &amp; Yule (1978)</t>
  </si>
  <si>
    <t>E39A</t>
  </si>
  <si>
    <r>
      <t xml:space="preserve">PAWC </t>
    </r>
    <r>
      <rPr>
        <vertAlign val="subscript"/>
        <sz val="11"/>
        <color theme="1"/>
        <rFont val="Arial"/>
        <family val="2"/>
      </rPr>
      <t>PAWCER</t>
    </r>
  </si>
  <si>
    <t>PAWCER (Littleboy, 2002) uses LSL lower storage limit and USL upper storage limit – defined in abbreviations but similar Wmin and Wmax). 1500kPa is in %</t>
  </si>
  <si>
    <t>LSL = 100*(-2.41+0.0566*clay)*(-0.0176+0.022*D)+ 1.0054*(1500kPa)</t>
  </si>
  <si>
    <r>
      <t>USL = (0.995+0.0011*sand)*13.2*</t>
    </r>
    <r>
      <rPr>
        <i/>
        <sz val="11"/>
        <color theme="1"/>
        <rFont val="Arial"/>
        <family val="2"/>
      </rPr>
      <t>e</t>
    </r>
    <r>
      <rPr>
        <sz val="11"/>
        <color theme="1"/>
        <rFont val="Arial"/>
        <family val="2"/>
      </rPr>
      <t>^(-2.845*D) +(1.0054 +0.0041*clay)*(1500kPa)</t>
    </r>
  </si>
  <si>
    <t>Littleboy (2002)</t>
  </si>
  <si>
    <t>E40</t>
  </si>
  <si>
    <t>Mixing water sources</t>
  </si>
  <si>
    <t>Mixing optimisation equations Solver used with constraints and the following equations)</t>
  </si>
  <si>
    <t>E41</t>
  </si>
  <si>
    <r>
      <t xml:space="preserve">EC </t>
    </r>
    <r>
      <rPr>
        <vertAlign val="subscript"/>
        <sz val="11"/>
        <color theme="1"/>
        <rFont val="Arial"/>
        <family val="2"/>
      </rPr>
      <t>imix</t>
    </r>
  </si>
  <si>
    <r>
      <t>EC</t>
    </r>
    <r>
      <rPr>
        <vertAlign val="subscript"/>
        <sz val="11"/>
        <color theme="1"/>
        <rFont val="Arial"/>
        <family val="2"/>
      </rPr>
      <t>i mix</t>
    </r>
    <r>
      <rPr>
        <sz val="11"/>
        <color theme="1"/>
        <rFont val="Arial"/>
        <family val="2"/>
      </rPr>
      <t xml:space="preserve"> [≤ EC</t>
    </r>
    <r>
      <rPr>
        <vertAlign val="subscript"/>
        <sz val="11"/>
        <color theme="1"/>
        <rFont val="Arial"/>
        <family val="2"/>
      </rPr>
      <t>i max</t>
    </r>
    <r>
      <rPr>
        <sz val="11"/>
        <color theme="1"/>
        <rFont val="Arial"/>
        <family val="2"/>
      </rPr>
      <t>] =(EC</t>
    </r>
    <r>
      <rPr>
        <vertAlign val="subscript"/>
        <sz val="11"/>
        <color theme="1"/>
        <rFont val="Arial"/>
        <family val="2"/>
      </rPr>
      <t xml:space="preserve">1 </t>
    </r>
    <r>
      <rPr>
        <sz val="11"/>
        <color theme="1"/>
        <rFont val="Arial"/>
        <family val="2"/>
      </rPr>
      <t>D</t>
    </r>
    <r>
      <rPr>
        <vertAlign val="subscript"/>
        <sz val="11"/>
        <color theme="1"/>
        <rFont val="Arial"/>
        <family val="2"/>
      </rPr>
      <t>1</t>
    </r>
    <r>
      <rPr>
        <sz val="11"/>
        <color theme="1"/>
        <rFont val="Arial"/>
        <family val="2"/>
      </rPr>
      <t xml:space="preserve"> + EC</t>
    </r>
    <r>
      <rPr>
        <vertAlign val="subscript"/>
        <sz val="11"/>
        <color theme="1"/>
        <rFont val="Arial"/>
        <family val="2"/>
      </rPr>
      <t xml:space="preserve">2 </t>
    </r>
    <r>
      <rPr>
        <sz val="11"/>
        <color theme="1"/>
        <rFont val="Arial"/>
        <family val="2"/>
      </rPr>
      <t>D</t>
    </r>
    <r>
      <rPr>
        <vertAlign val="subscript"/>
        <sz val="11"/>
        <color theme="1"/>
        <rFont val="Arial"/>
        <family val="2"/>
      </rPr>
      <t>2</t>
    </r>
    <r>
      <rPr>
        <sz val="11"/>
        <color theme="1"/>
        <rFont val="Arial"/>
        <family val="2"/>
      </rPr>
      <t xml:space="preserve"> + EC</t>
    </r>
    <r>
      <rPr>
        <vertAlign val="subscript"/>
        <sz val="11"/>
        <color theme="1"/>
        <rFont val="Arial"/>
        <family val="2"/>
      </rPr>
      <t xml:space="preserve">3 </t>
    </r>
    <r>
      <rPr>
        <sz val="11"/>
        <color theme="1"/>
        <rFont val="Arial"/>
        <family val="2"/>
      </rPr>
      <t>D</t>
    </r>
    <r>
      <rPr>
        <vertAlign val="subscript"/>
        <sz val="11"/>
        <color theme="1"/>
        <rFont val="Arial"/>
        <family val="2"/>
      </rPr>
      <t>3</t>
    </r>
    <r>
      <rPr>
        <sz val="11"/>
        <color theme="1"/>
        <rFont val="Arial"/>
        <family val="2"/>
      </rPr>
      <t>)/ (D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same as equation E14   combining each water source</t>
    </r>
  </si>
  <si>
    <t>E42</t>
  </si>
  <si>
    <r>
      <t xml:space="preserve">SAR </t>
    </r>
    <r>
      <rPr>
        <vertAlign val="subscript"/>
        <sz val="11"/>
        <color theme="1"/>
        <rFont val="Arial"/>
        <family val="2"/>
      </rPr>
      <t>imix</t>
    </r>
  </si>
  <si>
    <r>
      <t>SAR</t>
    </r>
    <r>
      <rPr>
        <vertAlign val="subscript"/>
        <sz val="11"/>
        <color theme="1"/>
        <rFont val="Arial"/>
        <family val="2"/>
      </rPr>
      <t>mix</t>
    </r>
    <r>
      <rPr>
        <sz val="11"/>
        <color theme="1"/>
        <rFont val="Arial"/>
        <family val="2"/>
      </rPr>
      <t xml:space="preserve"> = [(Na1 D1 + Na2 D2 + Na3 D3)/ (D1 + D2 + D3)]/ {[(Ca1+Mg1) D1 + (Ca2+Mg2)D2 + (Ca3+Mg3)D3]/[2(D1+D2+D3)]}^0.5      the same as SAR equation E3 but weighted for the depth of each irrigation water source – 1 to 3</t>
    </r>
  </si>
  <si>
    <t>E43</t>
  </si>
  <si>
    <r>
      <t>EC</t>
    </r>
    <r>
      <rPr>
        <vertAlign val="subscript"/>
        <sz val="11"/>
        <color theme="1"/>
        <rFont val="Arial"/>
        <family val="2"/>
      </rPr>
      <t>imix</t>
    </r>
    <r>
      <rPr>
        <sz val="11"/>
        <color theme="1"/>
        <rFont val="Arial"/>
        <family val="2"/>
      </rPr>
      <t xml:space="preserve"> </t>
    </r>
    <r>
      <rPr>
        <vertAlign val="subscript"/>
        <sz val="11"/>
        <color theme="1"/>
        <rFont val="Arial"/>
        <family val="2"/>
      </rPr>
      <t>required</t>
    </r>
  </si>
  <si>
    <r>
      <t>Calculation of EC</t>
    </r>
    <r>
      <rPr>
        <vertAlign val="subscript"/>
        <sz val="11"/>
        <color theme="1"/>
        <rFont val="Arial"/>
        <family val="2"/>
      </rPr>
      <t>i</t>
    </r>
    <r>
      <rPr>
        <sz val="11"/>
        <color theme="1"/>
        <rFont val="Arial"/>
        <family val="2"/>
      </rPr>
      <t xml:space="preserve"> required for different plant salt tolerance based on E17 to get EC</t>
    </r>
    <r>
      <rPr>
        <vertAlign val="subscript"/>
        <sz val="11"/>
        <color theme="1"/>
        <rFont val="Arial"/>
        <family val="2"/>
      </rPr>
      <t>se av</t>
    </r>
    <r>
      <rPr>
        <sz val="11"/>
        <color theme="1"/>
        <rFont val="Arial"/>
        <family val="2"/>
      </rPr>
      <t xml:space="preserve"> and E14 to get EC</t>
    </r>
    <r>
      <rPr>
        <vertAlign val="subscript"/>
        <sz val="11"/>
        <color theme="1"/>
        <rFont val="Arial"/>
        <family val="2"/>
      </rPr>
      <t>i</t>
    </r>
    <r>
      <rPr>
        <sz val="11"/>
        <color theme="1"/>
        <rFont val="Arial"/>
        <family val="2"/>
      </rPr>
      <t xml:space="preserve"> that meets user required plant salt tolerance For LF=0.15 (bottom of root zone), ECi = 0.7225* ECse av , For LF=0.10, ECi = 0.5834* ECse av , For LF=0.20, ECi = 0.8472* ECse av. This is shown as the result of Solver optimisation in MIXING WATERS as EC </t>
    </r>
    <r>
      <rPr>
        <vertAlign val="subscript"/>
        <sz val="11"/>
        <color theme="1"/>
        <rFont val="Arial"/>
        <family val="2"/>
      </rPr>
      <t>imix</t>
    </r>
  </si>
  <si>
    <t>E44</t>
  </si>
  <si>
    <r>
      <t xml:space="preserve">SAR </t>
    </r>
    <r>
      <rPr>
        <vertAlign val="subscript"/>
        <sz val="11"/>
        <color theme="1"/>
        <rFont val="Arial"/>
        <family val="2"/>
      </rPr>
      <t>imix</t>
    </r>
    <r>
      <rPr>
        <sz val="11"/>
        <color theme="1"/>
        <rFont val="Arial"/>
        <family val="2"/>
      </rPr>
      <t xml:space="preserve"> </t>
    </r>
    <r>
      <rPr>
        <vertAlign val="subscript"/>
        <sz val="11"/>
        <color theme="1"/>
        <rFont val="Arial"/>
        <family val="2"/>
      </rPr>
      <t>adj Ca</t>
    </r>
  </si>
  <si>
    <r>
      <t>SAR</t>
    </r>
    <r>
      <rPr>
        <vertAlign val="subscript"/>
        <sz val="11"/>
        <color theme="1"/>
        <rFont val="Arial"/>
        <family val="2"/>
      </rPr>
      <t>adj Ca</t>
    </r>
    <r>
      <rPr>
        <sz val="11"/>
        <color theme="1"/>
        <rFont val="Arial"/>
        <family val="2"/>
      </rPr>
      <t xml:space="preserve"> Used E3A in the form of E43 with P</t>
    </r>
    <r>
      <rPr>
        <vertAlign val="subscript"/>
        <sz val="11"/>
        <color theme="1"/>
        <rFont val="Arial"/>
        <family val="2"/>
      </rPr>
      <t>CO2</t>
    </r>
    <r>
      <rPr>
        <sz val="11"/>
        <color theme="1"/>
        <rFont val="Arial"/>
        <family val="2"/>
      </rPr>
      <t xml:space="preserve"> = 0.0007 atm for soil surface</t>
    </r>
  </si>
  <si>
    <t>E45</t>
  </si>
  <si>
    <r>
      <t xml:space="preserve">GR SAR </t>
    </r>
    <r>
      <rPr>
        <vertAlign val="subscript"/>
        <sz val="11"/>
        <color theme="1"/>
        <rFont val="Arial"/>
        <family val="2"/>
      </rPr>
      <t>imix</t>
    </r>
  </si>
  <si>
    <r>
      <t>Gypsum requirement calculated by addition of Ca to SAR formula E3 to bring SAR to the user selected value, if SAR</t>
    </r>
    <r>
      <rPr>
        <vertAlign val="subscript"/>
        <sz val="11"/>
        <color theme="1"/>
        <rFont val="Arial"/>
        <family val="2"/>
      </rPr>
      <t xml:space="preserve"> imix </t>
    </r>
    <r>
      <rPr>
        <sz val="11"/>
        <color theme="1"/>
        <rFont val="Arial"/>
        <family val="2"/>
      </rPr>
      <t>&gt; user defined value. Assumes</t>
    </r>
    <r>
      <rPr>
        <vertAlign val="subscript"/>
        <sz val="11"/>
        <color theme="1"/>
        <rFont val="Arial"/>
        <family val="2"/>
      </rPr>
      <t xml:space="preserve"> </t>
    </r>
    <r>
      <rPr>
        <sz val="11"/>
        <color theme="1"/>
        <rFont val="Arial"/>
        <family val="2"/>
      </rPr>
      <t>no addition of Ca if SAR &lt; user selected value of SAR</t>
    </r>
  </si>
  <si>
    <t>Ca calculated as inverse of SAR Equation 3 viz</t>
  </si>
  <si>
    <r>
      <t>additional Ca required (mmol</t>
    </r>
    <r>
      <rPr>
        <vertAlign val="subscript"/>
        <sz val="11"/>
        <color theme="1"/>
        <rFont val="Arial"/>
        <family val="2"/>
      </rPr>
      <t>c</t>
    </r>
    <r>
      <rPr>
        <sz val="11"/>
        <color theme="1"/>
        <rFont val="Arial"/>
        <family val="2"/>
      </rPr>
      <t>/L) = 2(Na/SAR)</t>
    </r>
    <r>
      <rPr>
        <vertAlign val="superscript"/>
        <sz val="11"/>
        <color theme="1"/>
        <rFont val="Arial"/>
        <family val="2"/>
      </rPr>
      <t>2</t>
    </r>
    <r>
      <rPr>
        <sz val="11"/>
        <color theme="1"/>
        <rFont val="Arial"/>
        <family val="2"/>
      </rPr>
      <t xml:space="preserve"> – Mg +existing Ca in water mix</t>
    </r>
  </si>
  <si>
    <r>
      <t>that is 2([(Na</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Na</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Na</t>
    </r>
    <r>
      <rPr>
        <vertAlign val="subscript"/>
        <sz val="11"/>
        <color theme="1"/>
        <rFont val="Arial"/>
        <family val="2"/>
      </rPr>
      <t>3</t>
    </r>
    <r>
      <rPr>
        <sz val="11"/>
        <color theme="1"/>
        <rFont val="Arial"/>
        <family val="2"/>
      </rPr>
      <t xml:space="preserve"> D</t>
    </r>
    <r>
      <rPr>
        <vertAlign val="subscript"/>
        <sz val="11"/>
        <color theme="1"/>
        <rFont val="Arial"/>
        <family val="2"/>
      </rPr>
      <t>3</t>
    </r>
    <r>
      <rPr>
        <sz val="11"/>
        <color theme="1"/>
        <rFont val="Arial"/>
        <family val="2"/>
      </rPr>
      <t>)/ (D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/SAR)</t>
    </r>
    <r>
      <rPr>
        <vertAlign val="superscript"/>
        <sz val="11"/>
        <color theme="1"/>
        <rFont val="Arial"/>
        <family val="2"/>
      </rPr>
      <t>2</t>
    </r>
    <r>
      <rPr>
        <sz val="11"/>
        <color theme="1"/>
        <rFont val="Arial"/>
        <family val="2"/>
      </rPr>
      <t xml:space="preserve"> – {[Mg</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Mg</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Mg</t>
    </r>
    <r>
      <rPr>
        <vertAlign val="subscript"/>
        <sz val="11"/>
        <color theme="1"/>
        <rFont val="Arial"/>
        <family val="2"/>
      </rPr>
      <t>3</t>
    </r>
    <r>
      <rPr>
        <sz val="11"/>
        <color theme="1"/>
        <rFont val="Arial"/>
        <family val="2"/>
      </rPr>
      <t xml:space="preserve"> D</t>
    </r>
    <r>
      <rPr>
        <vertAlign val="subscript"/>
        <sz val="11"/>
        <color theme="1"/>
        <rFont val="Arial"/>
        <family val="2"/>
      </rPr>
      <t>3</t>
    </r>
    <r>
      <rPr>
        <sz val="11"/>
        <color theme="1"/>
        <rFont val="Arial"/>
        <family val="2"/>
      </rPr>
      <t>)</t>
    </r>
    <r>
      <rPr>
        <vertAlign val="subscript"/>
        <sz val="11"/>
        <color theme="1"/>
        <rFont val="Arial"/>
        <family val="2"/>
      </rPr>
      <t xml:space="preserve"> </t>
    </r>
    <r>
      <rPr>
        <sz val="11"/>
        <color theme="1"/>
        <rFont val="Arial"/>
        <family val="2"/>
      </rPr>
      <t>/(D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+{[Ca</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Ca</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Ca</t>
    </r>
    <r>
      <rPr>
        <vertAlign val="subscript"/>
        <sz val="11"/>
        <color theme="1"/>
        <rFont val="Arial"/>
        <family val="2"/>
      </rPr>
      <t>3</t>
    </r>
    <r>
      <rPr>
        <sz val="11"/>
        <color theme="1"/>
        <rFont val="Arial"/>
        <family val="2"/>
      </rPr>
      <t xml:space="preserve"> D</t>
    </r>
    <r>
      <rPr>
        <vertAlign val="subscript"/>
        <sz val="11"/>
        <color theme="1"/>
        <rFont val="Arial"/>
        <family val="2"/>
      </rPr>
      <t xml:space="preserve">3 </t>
    </r>
    <r>
      <rPr>
        <sz val="11"/>
        <color theme="1"/>
        <rFont val="Arial"/>
        <family val="2"/>
      </rPr>
      <t>]/(D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where SAR value in the equation is the user selected SAR</t>
    </r>
  </si>
  <si>
    <t>This is approximate.</t>
  </si>
  <si>
    <r>
      <t>GR SAR</t>
    </r>
    <r>
      <rPr>
        <vertAlign val="subscript"/>
        <sz val="11"/>
        <color theme="1"/>
        <rFont val="Arial"/>
        <family val="2"/>
      </rPr>
      <t>imix</t>
    </r>
    <r>
      <rPr>
        <sz val="11"/>
        <color theme="1"/>
        <rFont val="Arial"/>
        <family val="2"/>
      </rPr>
      <t xml:space="preserve"> = additional Ca required * ML/yr irrigation water application * 0.19.</t>
    </r>
  </si>
  <si>
    <r>
      <t>0.19 is the weight of 90% pure gypsum (tonnes/ML) to supply 1 mmol</t>
    </r>
    <r>
      <rPr>
        <vertAlign val="subscript"/>
        <sz val="11"/>
        <color theme="1"/>
        <rFont val="Arial"/>
        <family val="2"/>
      </rPr>
      <t>c</t>
    </r>
    <r>
      <rPr>
        <sz val="11"/>
        <color theme="1"/>
        <rFont val="Arial"/>
        <family val="2"/>
      </rPr>
      <t xml:space="preserve"> Ca/L </t>
    </r>
  </si>
  <si>
    <t>E46</t>
  </si>
  <si>
    <r>
      <t xml:space="preserve">GR SAR </t>
    </r>
    <r>
      <rPr>
        <vertAlign val="subscript"/>
        <sz val="11"/>
        <color theme="1"/>
        <rFont val="Arial"/>
        <family val="2"/>
      </rPr>
      <t>adj Ca imix</t>
    </r>
  </si>
  <si>
    <r>
      <t>Gypsum requirement calculated by addition of Ca to SAR</t>
    </r>
    <r>
      <rPr>
        <vertAlign val="subscript"/>
        <sz val="11"/>
        <color theme="1"/>
        <rFont val="Arial"/>
        <family val="2"/>
      </rPr>
      <t xml:space="preserve">adj Ca </t>
    </r>
    <r>
      <rPr>
        <sz val="11"/>
        <color theme="1"/>
        <rFont val="Arial"/>
        <family val="2"/>
      </rPr>
      <t xml:space="preserve"> formula E3A to bring SAR</t>
    </r>
    <r>
      <rPr>
        <vertAlign val="subscript"/>
        <sz val="11"/>
        <color theme="1"/>
        <rFont val="Arial"/>
        <family val="2"/>
      </rPr>
      <t>adj Ca</t>
    </r>
    <r>
      <rPr>
        <sz val="11"/>
        <color theme="1"/>
        <rFont val="Arial"/>
        <family val="2"/>
      </rPr>
      <t xml:space="preserve"> to the user selected SAR value, if SAR</t>
    </r>
    <r>
      <rPr>
        <vertAlign val="subscript"/>
        <sz val="11"/>
        <color theme="1"/>
        <rFont val="Arial"/>
        <family val="2"/>
      </rPr>
      <t>adj Ca</t>
    </r>
    <r>
      <rPr>
        <sz val="11"/>
        <color theme="1"/>
        <rFont val="Arial"/>
        <family val="2"/>
      </rPr>
      <t xml:space="preserve"> </t>
    </r>
    <r>
      <rPr>
        <vertAlign val="subscript"/>
        <sz val="11"/>
        <color theme="1"/>
        <rFont val="Arial"/>
        <family val="2"/>
      </rPr>
      <t xml:space="preserve">mix </t>
    </r>
    <r>
      <rPr>
        <sz val="11"/>
        <color theme="1"/>
        <rFont val="Arial"/>
        <family val="2"/>
      </rPr>
      <t>&gt; user defined value. Assumes</t>
    </r>
    <r>
      <rPr>
        <vertAlign val="subscript"/>
        <sz val="11"/>
        <color theme="1"/>
        <rFont val="Arial"/>
        <family val="2"/>
      </rPr>
      <t xml:space="preserve"> </t>
    </r>
    <r>
      <rPr>
        <sz val="11"/>
        <color theme="1"/>
        <rFont val="Arial"/>
        <family val="2"/>
      </rPr>
      <t>no addition of Ca if SAR</t>
    </r>
    <r>
      <rPr>
        <vertAlign val="subscript"/>
        <sz val="11"/>
        <color theme="1"/>
        <rFont val="Arial"/>
        <family val="2"/>
      </rPr>
      <t>adj Ca</t>
    </r>
    <r>
      <rPr>
        <sz val="11"/>
        <color theme="1"/>
        <rFont val="Arial"/>
        <family val="2"/>
      </rPr>
      <t xml:space="preserve"> </t>
    </r>
    <r>
      <rPr>
        <vertAlign val="subscript"/>
        <sz val="11"/>
        <color theme="1"/>
        <rFont val="Arial"/>
        <family val="2"/>
      </rPr>
      <t>mix</t>
    </r>
    <r>
      <rPr>
        <sz val="11"/>
        <color theme="1"/>
        <rFont val="Arial"/>
        <family val="2"/>
      </rPr>
      <t xml:space="preserve"> &lt; user selected value of SAR or SAR</t>
    </r>
    <r>
      <rPr>
        <vertAlign val="subscript"/>
        <sz val="11"/>
        <color theme="1"/>
        <rFont val="Arial"/>
        <family val="2"/>
      </rPr>
      <t>adj Ca</t>
    </r>
    <r>
      <rPr>
        <sz val="11"/>
        <color theme="1"/>
        <rFont val="Arial"/>
        <family val="2"/>
      </rPr>
      <t xml:space="preserve"> </t>
    </r>
    <r>
      <rPr>
        <vertAlign val="subscript"/>
        <sz val="11"/>
        <color theme="1"/>
        <rFont val="Arial"/>
        <family val="2"/>
      </rPr>
      <t>mix</t>
    </r>
  </si>
  <si>
    <r>
      <t>Ca calculated as inverse of SAR</t>
    </r>
    <r>
      <rPr>
        <vertAlign val="subscript"/>
        <sz val="11"/>
        <color theme="1"/>
        <rFont val="Arial"/>
        <family val="2"/>
      </rPr>
      <t>adj Ca</t>
    </r>
    <r>
      <rPr>
        <sz val="11"/>
        <color theme="1"/>
        <rFont val="Arial"/>
        <family val="2"/>
      </rPr>
      <t xml:space="preserve"> Equation 3A</t>
    </r>
  </si>
  <si>
    <r>
      <t>additional Ca required = 2(Na/SAR)</t>
    </r>
    <r>
      <rPr>
        <vertAlign val="superscript"/>
        <sz val="11"/>
        <color theme="1"/>
        <rFont val="Arial"/>
        <family val="2"/>
      </rPr>
      <t>2</t>
    </r>
    <r>
      <rPr>
        <sz val="11"/>
        <color theme="1"/>
        <rFont val="Arial"/>
        <family val="2"/>
      </rPr>
      <t xml:space="preserve"> – Mg +existing Ca</t>
    </r>
    <r>
      <rPr>
        <vertAlign val="subscript"/>
        <sz val="11"/>
        <color theme="1"/>
        <rFont val="Arial"/>
        <family val="2"/>
      </rPr>
      <t>eq</t>
    </r>
    <r>
      <rPr>
        <sz val="11"/>
        <color theme="1"/>
        <rFont val="Arial"/>
        <family val="2"/>
      </rPr>
      <t xml:space="preserve"> in water mix</t>
    </r>
  </si>
  <si>
    <r>
      <t>that is 2([(Na</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Na</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Na</t>
    </r>
    <r>
      <rPr>
        <vertAlign val="subscript"/>
        <sz val="11"/>
        <color theme="1"/>
        <rFont val="Arial"/>
        <family val="2"/>
      </rPr>
      <t>3</t>
    </r>
    <r>
      <rPr>
        <sz val="11"/>
        <color theme="1"/>
        <rFont val="Arial"/>
        <family val="2"/>
      </rPr>
      <t xml:space="preserve"> D</t>
    </r>
    <r>
      <rPr>
        <vertAlign val="subscript"/>
        <sz val="11"/>
        <color theme="1"/>
        <rFont val="Arial"/>
        <family val="2"/>
      </rPr>
      <t>3</t>
    </r>
    <r>
      <rPr>
        <sz val="11"/>
        <color theme="1"/>
        <rFont val="Arial"/>
        <family val="2"/>
      </rPr>
      <t>)/ (D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/SAR)</t>
    </r>
    <r>
      <rPr>
        <vertAlign val="superscript"/>
        <sz val="11"/>
        <color theme="1"/>
        <rFont val="Arial"/>
        <family val="2"/>
      </rPr>
      <t>2</t>
    </r>
    <r>
      <rPr>
        <sz val="11"/>
        <color theme="1"/>
        <rFont val="Arial"/>
        <family val="2"/>
      </rPr>
      <t xml:space="preserve"> – {[Mg</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Mg</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Mg</t>
    </r>
    <r>
      <rPr>
        <vertAlign val="subscript"/>
        <sz val="11"/>
        <color theme="1"/>
        <rFont val="Arial"/>
        <family val="2"/>
      </rPr>
      <t>3</t>
    </r>
    <r>
      <rPr>
        <sz val="11"/>
        <color theme="1"/>
        <rFont val="Arial"/>
        <family val="2"/>
      </rPr>
      <t xml:space="preserve"> D</t>
    </r>
    <r>
      <rPr>
        <vertAlign val="subscript"/>
        <sz val="11"/>
        <color theme="1"/>
        <rFont val="Arial"/>
        <family val="2"/>
      </rPr>
      <t xml:space="preserve">3) </t>
    </r>
    <r>
      <rPr>
        <sz val="11"/>
        <color theme="1"/>
        <rFont val="Arial"/>
        <family val="2"/>
      </rPr>
      <t>/(D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+{[Ca</t>
    </r>
    <r>
      <rPr>
        <vertAlign val="subscript"/>
        <sz val="11"/>
        <color theme="1"/>
        <rFont val="Arial"/>
        <family val="2"/>
      </rPr>
      <t>1</t>
    </r>
    <r>
      <rPr>
        <sz val="11"/>
        <color theme="1"/>
        <rFont val="Arial"/>
        <family val="2"/>
      </rPr>
      <t xml:space="preserve"> D</t>
    </r>
    <r>
      <rPr>
        <vertAlign val="subscript"/>
        <sz val="11"/>
        <color theme="1"/>
        <rFont val="Arial"/>
        <family val="2"/>
      </rPr>
      <t>1</t>
    </r>
    <r>
      <rPr>
        <sz val="11"/>
        <color theme="1"/>
        <rFont val="Arial"/>
        <family val="2"/>
      </rPr>
      <t xml:space="preserve"> + Ca</t>
    </r>
    <r>
      <rPr>
        <vertAlign val="subscript"/>
        <sz val="11"/>
        <color theme="1"/>
        <rFont val="Arial"/>
        <family val="2"/>
      </rPr>
      <t>2</t>
    </r>
    <r>
      <rPr>
        <sz val="11"/>
        <color theme="1"/>
        <rFont val="Arial"/>
        <family val="2"/>
      </rPr>
      <t xml:space="preserve"> D</t>
    </r>
    <r>
      <rPr>
        <vertAlign val="subscript"/>
        <sz val="11"/>
        <color theme="1"/>
        <rFont val="Arial"/>
        <family val="2"/>
      </rPr>
      <t>2</t>
    </r>
    <r>
      <rPr>
        <sz val="11"/>
        <color theme="1"/>
        <rFont val="Arial"/>
        <family val="2"/>
      </rPr>
      <t xml:space="preserve"> + Ca</t>
    </r>
    <r>
      <rPr>
        <vertAlign val="subscript"/>
        <sz val="11"/>
        <color theme="1"/>
        <rFont val="Arial"/>
        <family val="2"/>
      </rPr>
      <t>3</t>
    </r>
    <r>
      <rPr>
        <sz val="11"/>
        <color theme="1"/>
        <rFont val="Arial"/>
        <family val="2"/>
      </rPr>
      <t xml:space="preserve"> D</t>
    </r>
    <r>
      <rPr>
        <vertAlign val="subscript"/>
        <sz val="11"/>
        <color theme="1"/>
        <rFont val="Arial"/>
        <family val="2"/>
      </rPr>
      <t xml:space="preserve">3 </t>
    </r>
    <r>
      <rPr>
        <sz val="11"/>
        <color theme="1"/>
        <rFont val="Arial"/>
        <family val="2"/>
      </rPr>
      <t>]/(D</t>
    </r>
    <r>
      <rPr>
        <vertAlign val="subscript"/>
        <sz val="11"/>
        <color theme="1"/>
        <rFont val="Arial"/>
        <family val="2"/>
      </rPr>
      <t>1</t>
    </r>
    <r>
      <rPr>
        <sz val="11"/>
        <color theme="1"/>
        <rFont val="Arial"/>
        <family val="2"/>
      </rPr>
      <t xml:space="preserve"> + D</t>
    </r>
    <r>
      <rPr>
        <vertAlign val="subscript"/>
        <sz val="11"/>
        <color theme="1"/>
        <rFont val="Arial"/>
        <family val="2"/>
      </rPr>
      <t>2</t>
    </r>
    <r>
      <rPr>
        <sz val="11"/>
        <color theme="1"/>
        <rFont val="Arial"/>
        <family val="2"/>
      </rPr>
      <t xml:space="preserve"> + D</t>
    </r>
    <r>
      <rPr>
        <vertAlign val="subscript"/>
        <sz val="11"/>
        <color theme="1"/>
        <rFont val="Arial"/>
        <family val="2"/>
      </rPr>
      <t>3</t>
    </r>
    <r>
      <rPr>
        <sz val="11"/>
        <color theme="1"/>
        <rFont val="Arial"/>
        <family val="2"/>
      </rPr>
      <t>)} where SAR value is the user defined SAR or SAR</t>
    </r>
    <r>
      <rPr>
        <vertAlign val="subscript"/>
        <sz val="11"/>
        <color theme="1"/>
        <rFont val="Arial"/>
        <family val="2"/>
      </rPr>
      <t>adj Ca</t>
    </r>
    <r>
      <rPr>
        <sz val="11"/>
        <color theme="1"/>
        <rFont val="Arial"/>
        <family val="2"/>
      </rPr>
      <t xml:space="preserve"> </t>
    </r>
    <r>
      <rPr>
        <vertAlign val="subscript"/>
        <sz val="11"/>
        <color theme="1"/>
        <rFont val="Arial"/>
        <family val="2"/>
      </rPr>
      <t>mix</t>
    </r>
  </si>
  <si>
    <t>E47</t>
  </si>
  <si>
    <t>Runoff</t>
  </si>
  <si>
    <r>
      <t>Rainfall –runoff = (4.24 + 0.76 * rainfall 0.5)^2   R</t>
    </r>
    <r>
      <rPr>
        <vertAlign val="superscript"/>
        <sz val="11"/>
        <color theme="1"/>
        <rFont val="Arial"/>
        <family val="2"/>
      </rPr>
      <t>2</t>
    </r>
    <r>
      <rPr>
        <sz val="11"/>
        <color theme="1"/>
        <rFont val="Arial"/>
        <family val="2"/>
      </rPr>
      <t xml:space="preserve"> = 0.997 n=7</t>
    </r>
  </si>
  <si>
    <t>Can do in future version</t>
  </si>
  <si>
    <t>not yet implemented</t>
  </si>
  <si>
    <t>E48</t>
  </si>
  <si>
    <t>Table of tables</t>
  </si>
  <si>
    <t>table</t>
  </si>
  <si>
    <t>Changes made</t>
  </si>
  <si>
    <t>T1</t>
  </si>
  <si>
    <t>T2</t>
  </si>
  <si>
    <r>
      <t xml:space="preserve">Table 9.2.6 </t>
    </r>
    <r>
      <rPr>
        <sz val="11"/>
        <color theme="1"/>
        <rFont val="Arial"/>
        <family val="2"/>
      </rPr>
      <t>Guide to permissible SAR of irrigation water for maintaining a stable soil surface under high rainfall</t>
    </r>
  </si>
  <si>
    <t>Ranges are grouped</t>
  </si>
  <si>
    <t>T3</t>
  </si>
  <si>
    <t>T4</t>
  </si>
  <si>
    <t>Table of figures</t>
  </si>
  <si>
    <t>Figure</t>
  </si>
  <si>
    <t>F1</t>
  </si>
  <si>
    <t>Soil stability curves use inverse of equations for most sensitive and least sensitive curves</t>
  </si>
  <si>
    <t>Most sensitive soil clay 55-65% CCR 0.55-0.75</t>
  </si>
  <si>
    <t>10^(-1.006^-1*(.870+log((0.03*2000)^-1.006/x)))</t>
  </si>
  <si>
    <t>Least sensitive soil clay 25-35% CCR 0.35-0.55</t>
  </si>
  <si>
    <t>10^(-0.936^-1*(.411+log((0.03*2000)^-0.936/x)))</t>
  </si>
  <si>
    <t>inverse of equations</t>
  </si>
  <si>
    <t>F2</t>
  </si>
  <si>
    <t>Curve for each soil clay and CCR group used in the predictive calculator.</t>
  </si>
  <si>
    <r>
      <t xml:space="preserve">LF </t>
    </r>
    <r>
      <rPr>
        <vertAlign val="subscript"/>
        <sz val="11"/>
        <color theme="1"/>
        <rFont val="Arial"/>
        <family val="2"/>
      </rPr>
      <t>i+r</t>
    </r>
    <r>
      <rPr>
        <sz val="11"/>
        <color theme="1"/>
        <rFont val="Arial"/>
        <family val="2"/>
      </rPr>
      <t xml:space="preserve"> / LF</t>
    </r>
    <r>
      <rPr>
        <vertAlign val="subscript"/>
        <sz val="11"/>
        <color theme="1"/>
        <rFont val="Arial"/>
        <family val="2"/>
      </rPr>
      <t>r</t>
    </r>
  </si>
  <si>
    <t>Go to Equations Page</t>
  </si>
  <si>
    <t>Back to Background and Theory</t>
  </si>
  <si>
    <t>Additional information that has been included in SALF2. It is a significant update of, and enhancement of, the earlier SALF model (DNR 1997) as outlined in the above two references.</t>
  </si>
  <si>
    <t>SALF2 is structured as a progressive approach to irrigation water quality assessment starting with a simple answer to the question is this irrigation water suitable, marginal or unsuitable for irrigation, to a prediction of the leaching fraction, actual soil and plant response and mixing of irrigation water sources to allow more marginal quality waters to be managed to minimise adverse impacts.</t>
  </si>
  <si>
    <r>
      <t xml:space="preserve">If you have water quality data and would like to know how suitable a water is for irrigation, then do the </t>
    </r>
    <r>
      <rPr>
        <b/>
        <sz val="12"/>
        <color theme="1"/>
        <rFont val="Calibri"/>
        <family val="2"/>
        <scheme val="minor"/>
      </rPr>
      <t>QUICK CALCULATOR</t>
    </r>
    <r>
      <rPr>
        <sz val="12"/>
        <color theme="1"/>
        <rFont val="Calibri"/>
        <family val="2"/>
        <scheme val="minor"/>
      </rPr>
      <t xml:space="preserve">. This option only considers the irrigation water quality and not the soil properties or application rate. If the water is marginal or unsuitable and you want to proceed to check its suitability for a specific soil-irrigation situation, including the effect of rainfall, then proceed to the </t>
    </r>
    <r>
      <rPr>
        <b/>
        <sz val="12"/>
        <color theme="1"/>
        <rFont val="Calibri"/>
        <family val="2"/>
        <scheme val="minor"/>
      </rPr>
      <t>PREDICTIVE CALCULATOR</t>
    </r>
    <r>
      <rPr>
        <sz val="12"/>
        <color theme="1"/>
        <rFont val="Calibri"/>
        <family val="2"/>
        <scheme val="minor"/>
      </rPr>
      <t>.</t>
    </r>
  </si>
  <si>
    <r>
      <t xml:space="preserve">To get an estimate of field soil water properties based on laboratory measurements go to </t>
    </r>
    <r>
      <rPr>
        <b/>
        <sz val="12"/>
        <color theme="1"/>
        <rFont val="Calibri"/>
        <family val="2"/>
        <scheme val="minor"/>
      </rPr>
      <t>SOIL WATER PARAMETERS</t>
    </r>
    <r>
      <rPr>
        <sz val="12"/>
        <color theme="1"/>
        <rFont val="Calibri"/>
        <family val="2"/>
        <scheme val="minor"/>
      </rPr>
      <t xml:space="preserve"> where you may need to input additional soil properties.</t>
    </r>
  </si>
  <si>
    <r>
      <t xml:space="preserve">If the irrigation water quality is marginal, or groundwater needs to be mixed with other water sources to manage rising groundwater or to mix irrigation water sources go to </t>
    </r>
    <r>
      <rPr>
        <b/>
        <sz val="12"/>
        <color theme="1"/>
        <rFont val="Calibri"/>
        <family val="2"/>
        <scheme val="minor"/>
      </rPr>
      <t>MIXING IRRIGATION WATERS</t>
    </r>
    <r>
      <rPr>
        <sz val="12"/>
        <color theme="1"/>
        <rFont val="Calibri"/>
        <family val="2"/>
        <scheme val="minor"/>
      </rPr>
      <t>.</t>
    </r>
  </si>
  <si>
    <t>ANZECC &amp; ARMCANZ (2000) used as the basis except for correction to coefficient in equation 9.12 (average root zone EC) in ANZECC</t>
  </si>
  <si>
    <r>
      <t xml:space="preserve">If you wish to use the </t>
    </r>
    <r>
      <rPr>
        <b/>
        <sz val="12"/>
        <color theme="1"/>
        <rFont val="Calibri"/>
        <family val="2"/>
        <scheme val="minor"/>
      </rPr>
      <t>Predictive Calculator</t>
    </r>
    <r>
      <rPr>
        <sz val="12"/>
        <color theme="1"/>
        <rFont val="Calibri"/>
        <family val="2"/>
        <scheme val="minor"/>
      </rPr>
      <t xml:space="preserve">, or </t>
    </r>
    <r>
      <rPr>
        <b/>
        <sz val="12"/>
        <color theme="1"/>
        <rFont val="Calibri"/>
        <family val="2"/>
        <scheme val="minor"/>
      </rPr>
      <t>Mixing of water sources</t>
    </r>
    <r>
      <rPr>
        <sz val="12"/>
        <color theme="1"/>
        <rFont val="Calibri"/>
        <family val="2"/>
        <scheme val="minor"/>
      </rPr>
      <t>, entry of the full chemical analysis is required on this page.</t>
    </r>
  </si>
  <si>
    <r>
      <t>Adjustments to the SAR value are made to correct for precipitation of CaCO</t>
    </r>
    <r>
      <rPr>
        <vertAlign val="subscript"/>
        <sz val="11"/>
        <color rgb="FF000000"/>
        <rFont val="Arial"/>
        <family val="2"/>
      </rPr>
      <t>3</t>
    </r>
    <r>
      <rPr>
        <sz val="11"/>
        <color rgb="FF000000"/>
        <rFont val="Arial"/>
        <family val="2"/>
      </rPr>
      <t xml:space="preserve"> (see Abbreviations and Glossary page) and to estimate soil surface ESP.</t>
    </r>
  </si>
  <si>
    <t xml:space="preserve">Following rainfall, the EC of the soil solution is diluted while the soil ESP will remain largely the same thus there will be a period of unstable soil structure and gypsum will probably be required. The PREDICTIVE CALCULATOR and MIXING WATER CALCULATOR can estimate the quantity of gypsum required. </t>
  </si>
  <si>
    <t>If the one or both of the relevant values of EC or SAR for a water sample is outside the graph limits, it will plot on the extremity of the graph to indicate that the values exceed the boundaries of the graph. If there is no data for that site number they will also print to the top right corner.</t>
  </si>
  <si>
    <r>
      <t xml:space="preserve">The table </t>
    </r>
    <r>
      <rPr>
        <b/>
        <sz val="11"/>
        <color rgb="FF000000"/>
        <rFont val="Calibri"/>
        <family val="2"/>
      </rPr>
      <t xml:space="preserve">Permissible irrigation water SAR to maintain stable soil following heavy rainfall </t>
    </r>
    <r>
      <rPr>
        <sz val="11"/>
        <color rgb="FF000000"/>
        <rFont val="Calibri"/>
        <family val="2"/>
      </rPr>
      <t>gives SAR values that should not be exceeded without gypsum application and/or appropriate management practices  (</t>
    </r>
    <r>
      <rPr>
        <sz val="11"/>
        <rFont val="Calibri"/>
        <family val="2"/>
      </rPr>
      <t>ANZECC &amp; ARMCANZ, 2000).</t>
    </r>
  </si>
  <si>
    <r>
      <t xml:space="preserve">Use and modification is permitted but notification of changes to </t>
    </r>
    <r>
      <rPr>
        <u/>
        <sz val="10.5"/>
        <color rgb="FF0070C0"/>
        <rFont val="Arial"/>
        <family val="2"/>
      </rPr>
      <t>salf2calculator@gmail.com</t>
    </r>
    <r>
      <rPr>
        <sz val="10.5"/>
        <color rgb="FF000000"/>
        <rFont val="Arial"/>
        <family val="2"/>
      </rPr>
      <t xml:space="preserve"> is requested as per the licence agreement.</t>
    </r>
  </si>
  <si>
    <r>
      <t xml:space="preserve">The source of some of the information in SALF2 is from the Queensland Department of Natural Resources and Mines (NRM) and its former named entities and is licensed under the Creative Commons Attribution 3.0 Australia License. To view a copy of this license, visit </t>
    </r>
    <r>
      <rPr>
        <sz val="11"/>
        <color rgb="FF0000FF"/>
        <rFont val="Arial"/>
        <family val="2"/>
      </rPr>
      <t>http://creativecommons.org/licenses/by/3.0/au/</t>
    </r>
    <r>
      <rPr>
        <sz val="11"/>
        <color rgb="FF000000"/>
        <rFont val="Arial"/>
        <family val="2"/>
      </rPr>
      <t xml:space="preserve">. </t>
    </r>
  </si>
  <si>
    <t xml:space="preserve">Disclaimer: Based on the data provided by the State of Queensland, the State makes no representations or warranties in relation to the supplied data and you agree that to the extent permitted by law, all warranties relating to the data including accuracy, reliability, completeness, currency or suitability for any particular purpose and all liability for any loss, damage or costs (including consequential damage) incurred in any way (including but not limited to that arising from negligence) in connection with any use of or reliance on the supplied data are excluded or limited. Data must not be used for direct marketing or be used in breach of the privacy laws. Some of the copyright material has been modified by the authors as stated in the text of SALF2. </t>
  </si>
  <si>
    <t>Av CCR</t>
  </si>
  <si>
    <t>ESP*</t>
  </si>
  <si>
    <r>
      <t>Conditions of use:</t>
    </r>
    <r>
      <rPr>
        <sz val="11"/>
        <color theme="1"/>
        <rFont val="Arial"/>
        <family val="2"/>
      </rPr>
      <t xml:space="preserve"> read the section </t>
    </r>
    <r>
      <rPr>
        <b/>
        <sz val="11"/>
        <color theme="1"/>
        <rFont val="Arial"/>
        <family val="2"/>
      </rPr>
      <t>Limitations, disclaimer and copyright</t>
    </r>
    <r>
      <rPr>
        <sz val="11"/>
        <color theme="1"/>
        <rFont val="Arial"/>
        <family val="2"/>
      </rPr>
      <t xml:space="preserve"> before proceeding to avoid making unsuitable decisions based on the information and limitations of </t>
    </r>
  </si>
  <si>
    <t>If the water is shown to the left of the blue line, the soil structure will be unstable using that irrigation water and will result in soil dispersion, crusting, sealing and enhanced erosion. These issues will be worse following heavy rainfall.</t>
  </si>
  <si>
    <r>
      <t xml:space="preserve">Results indicate the suitability of the waters for irrigation and the plant salt tolerance groups suitable for the particular water based on a LF of 0.15 as per the ANZECC &amp; ARMCANZ (2000) guidelines. EC values (and an approximate equivalent chloride value) are also shown for lower, LF of 0.1, and higher, LF 0.2, values. </t>
    </r>
    <r>
      <rPr>
        <b/>
        <sz val="11"/>
        <color rgb="FF000000"/>
        <rFont val="Arial"/>
        <family val="2"/>
      </rPr>
      <t>This is a simple evaluation of the irrigation water and does not take into account rainfall. The sodicity results below are much less affected by rainfall.</t>
    </r>
  </si>
  <si>
    <r>
      <rPr>
        <b/>
        <sz val="12"/>
        <color theme="1"/>
        <rFont val="Arial"/>
        <family val="2"/>
      </rPr>
      <t xml:space="preserve">Graphs: </t>
    </r>
    <r>
      <rPr>
        <sz val="11"/>
        <color theme="1"/>
        <rFont val="Arial"/>
        <family val="2"/>
      </rPr>
      <t xml:space="preserve">The blue line is the soil stability line for the specific Clay/ CCR group of the soil profile. This is set as a relatively conservative value. It is consistent with ANZECC &amp; ARMCANZ (2000) and other Irrigation water guidelines. See the </t>
    </r>
    <r>
      <rPr>
        <b/>
        <sz val="11"/>
        <color theme="1"/>
        <rFont val="Arial"/>
        <family val="2"/>
      </rPr>
      <t>Background and Theory</t>
    </r>
    <r>
      <rPr>
        <sz val="11"/>
        <color theme="1"/>
        <rFont val="Arial"/>
        <family val="2"/>
      </rPr>
      <t xml:space="preserve"> section for more details.</t>
    </r>
  </si>
  <si>
    <t>3.5         Plant salt tolerance</t>
  </si>
  <si>
    <t>3.7        Acceptable leaching fractions</t>
  </si>
  <si>
    <t>4.3         Irrigation of sugarcane manual, Holden &amp; McGuire (2013)</t>
  </si>
  <si>
    <t xml:space="preserve">DNR 1997. Salinity Management Handbook for Queensland. DNRQ97109. Department of Natural Resources, Brisbane. </t>
  </si>
  <si>
    <t xml:space="preserve">4.1        Ayers and Westcot (1994) </t>
  </si>
  <si>
    <t>4.2        Agricultural salinity assessment and management 2nd edition</t>
  </si>
  <si>
    <t>3.6        SAR limits to minimise surface soil problems under rainfall</t>
  </si>
  <si>
    <t xml:space="preserve">Incorporation of plant specific ion tolerance from ANZECC &amp; ARMCANZ (2000) </t>
  </si>
  <si>
    <r>
      <t>This calculator will provide results on irrigation water quality. You have options for units used for input data however the units in the results are in dS/m and mmol</t>
    </r>
    <r>
      <rPr>
        <i/>
        <vertAlign val="subscript"/>
        <sz val="14"/>
        <color theme="1"/>
        <rFont val="Calibri"/>
        <family val="2"/>
        <scheme val="minor"/>
      </rPr>
      <t>c</t>
    </r>
    <r>
      <rPr>
        <i/>
        <sz val="14"/>
        <color theme="1"/>
        <rFont val="Calibri"/>
        <family val="2"/>
        <scheme val="minor"/>
      </rPr>
      <t>/L with the option of mg/L in a future version.</t>
    </r>
  </si>
  <si>
    <r>
      <t xml:space="preserve">Put letter Y in </t>
    </r>
    <r>
      <rPr>
        <b/>
        <sz val="12"/>
        <color theme="1"/>
        <rFont val="Calibri"/>
        <family val="2"/>
        <scheme val="minor"/>
      </rPr>
      <t>ONE</t>
    </r>
    <r>
      <rPr>
        <b/>
        <sz val="11"/>
        <color theme="1"/>
        <rFont val="Calibri"/>
        <family val="2"/>
        <scheme val="minor"/>
      </rPr>
      <t xml:space="preserve"> </t>
    </r>
    <r>
      <rPr>
        <sz val="11"/>
        <color theme="1"/>
        <rFont val="Calibri"/>
        <family val="2"/>
        <scheme val="minor"/>
      </rPr>
      <t>box for the irrigation water selected for each soil, your data from the Quick Calculator page will be transferred across.</t>
    </r>
  </si>
  <si>
    <t>The authors of the software make no warranties, nor express or implied representations whatsoever, regarding the accuracy, completeness, timeliness, comparative or controversial nature, or usefulness of any information contained or referenced in the prediction tools. The authors do not assume any risk whatsoever for your use of the prediction tools or the information that is entered into the calculators. Ongoing research and reinterpretation of data and relationships used in the derivation of the algorithms in this tool may change resulting in the calculators being outdated, incomplete or incorrect.</t>
  </si>
  <si>
    <t>Deep drainage below the nominated root zone depth – here assumed to be 0.9 m depth. A function of LF and the depth of irrigation + rainfall</t>
  </si>
  <si>
    <t>ECse wuw rz</t>
  </si>
  <si>
    <r>
      <t>BD changed to BD</t>
    </r>
    <r>
      <rPr>
        <vertAlign val="subscript"/>
        <sz val="11"/>
        <color theme="1"/>
        <rFont val="Arial"/>
        <family val="2"/>
      </rPr>
      <t>@Wmax</t>
    </r>
  </si>
  <si>
    <t>Sugarcane added</t>
  </si>
  <si>
    <t>Ranges have been grouped to make it easier</t>
  </si>
  <si>
    <t>Thresh</t>
  </si>
  <si>
    <t>Av prod</t>
  </si>
  <si>
    <t>($H$32*$AI$38+$H$33*$AI$39+$H$34*$AI$40+$H$35*$AI$45)/($H$32+$H$33+$H$34+$H$35)</t>
  </si>
  <si>
    <t>$AH$58</t>
  </si>
  <si>
    <t>&gt;=</t>
  </si>
  <si>
    <t>$AH$60</t>
  </si>
  <si>
    <t>&lt;=</t>
  </si>
  <si>
    <t xml:space="preserve"> = </t>
  </si>
  <si>
    <t>$H$32,$H$33,$H$34,$H$35</t>
  </si>
  <si>
    <t>$F$42</t>
  </si>
  <si>
    <t>Set Objective</t>
  </si>
  <si>
    <t>By Changing Variable Cells:</t>
  </si>
  <si>
    <t>Subject to the Contraints:</t>
  </si>
  <si>
    <t>$H$32</t>
  </si>
  <si>
    <t>$H$33</t>
  </si>
  <si>
    <t>$H$34</t>
  </si>
  <si>
    <t>$H$35</t>
  </si>
  <si>
    <t>$H$36</t>
  </si>
  <si>
    <t>To:   Max</t>
  </si>
  <si>
    <t>$L$32</t>
  </si>
  <si>
    <t>$I$32</t>
  </si>
  <si>
    <t>$J$32</t>
  </si>
  <si>
    <t>$I$33</t>
  </si>
  <si>
    <t>$J$33</t>
  </si>
  <si>
    <t>$I$34</t>
  </si>
  <si>
    <t>$J$34</t>
  </si>
  <si>
    <t>$I$35</t>
  </si>
  <si>
    <t>$J$35</t>
  </si>
  <si>
    <t>$F$32-$E$32+$E$35</t>
  </si>
  <si>
    <r>
      <t xml:space="preserve">If you would like to understand the background and theoretical framework for SALF2 go to </t>
    </r>
    <r>
      <rPr>
        <b/>
        <sz val="12"/>
        <color theme="1"/>
        <rFont val="Calibri"/>
        <family val="2"/>
        <scheme val="minor"/>
      </rPr>
      <t>BACKGROUND AND THEORY</t>
    </r>
    <r>
      <rPr>
        <sz val="12"/>
        <color theme="1"/>
        <rFont val="Calibri"/>
        <family val="2"/>
        <scheme val="minor"/>
      </rPr>
      <t>. The background and equations for the calculations are given along with some key references.</t>
    </r>
  </si>
  <si>
    <r>
      <t xml:space="preserve">If you have entered water quality, rainfall and irrigation into the </t>
    </r>
    <r>
      <rPr>
        <b/>
        <sz val="12"/>
        <color theme="1"/>
        <rFont val="Calibri"/>
        <family val="2"/>
        <scheme val="minor"/>
      </rPr>
      <t>QUICK CALCULATOR</t>
    </r>
    <r>
      <rPr>
        <sz val="12"/>
        <color theme="1"/>
        <rFont val="Calibri"/>
        <family val="2"/>
        <scheme val="minor"/>
      </rPr>
      <t xml:space="preserve">, then you can go to </t>
    </r>
    <r>
      <rPr>
        <b/>
        <sz val="12"/>
        <color theme="1"/>
        <rFont val="Calibri"/>
        <family val="2"/>
        <scheme val="minor"/>
      </rPr>
      <t>PREDICTIVE CALCULATOR</t>
    </r>
    <r>
      <rPr>
        <sz val="12"/>
        <color theme="1"/>
        <rFont val="Calibri"/>
        <family val="2"/>
        <scheme val="minor"/>
      </rPr>
      <t xml:space="preserve"> to input soil properties and assess soil response and plant salt tolerance.</t>
    </r>
  </si>
  <si>
    <t>Known issues in version 0.9 beta</t>
  </si>
  <si>
    <t>Solver in MIXING IRRIGATION WATERS occasionally returns #### errors in the result cells. This seems to be random and persisting and varying input parameters works.</t>
  </si>
  <si>
    <t>Mixing calculation</t>
  </si>
  <si>
    <t>rainfall selection and quantity</t>
  </si>
  <si>
    <t>The figure below is just for reference in case something is changed in the dialog box and needs to be restored.</t>
  </si>
  <si>
    <t>if(SUM(L16:S16)&gt;0,if(ABS(F16-E24)&gt;0),1,0)</t>
  </si>
  <si>
    <t>Choose a unit for PAWC results: mm or cm</t>
  </si>
  <si>
    <t>Drop down list for PAWC unit</t>
  </si>
  <si>
    <t>Enter average annual rainfall and average annual irrigation application. If the irrigation application is not known, choose an irrigation value of (1300 – rainfall) (mm) which will be an indicative irrigation application. The 1300 mm value can vary between 1000 and 2000 mm based on Queensland experience. Higher irrigation values pose waterlogging issues unless there is high evapotranspiration. Runoff is accounted for in the algorithms.</t>
  </si>
  <si>
    <t>Where sampled depth increments are greater than 0.1m, enter the value for all 0.1m increments within that sampled depth range. Gaps in depth increments &gt; 0.6m are not interpolated by the program.</t>
  </si>
  <si>
    <t>Results for ESP 0.1m &amp; ESP 0.1m adj SAR are calculated directly from the water analysis</t>
  </si>
  <si>
    <r>
      <t xml:space="preserve">GR (gypsum requirement) is calculated to achieve an ESP </t>
    </r>
    <r>
      <rPr>
        <sz val="11"/>
        <rFont val="Calibri"/>
        <family val="2"/>
      </rPr>
      <t xml:space="preserve">≈ </t>
    </r>
    <r>
      <rPr>
        <sz val="11"/>
        <rFont val="Calibri"/>
        <family val="2"/>
        <scheme val="minor"/>
      </rPr>
      <t>5 in the 0.1m depth</t>
    </r>
  </si>
  <si>
    <t>To use the PAWCER model for PAWC, enter coarse sand and fine sand for each soil in the green columns below.</t>
  </si>
  <si>
    <t>For estimates of soil profile PAWC, read off the cumulative PAWC for the root zone depth of interest.</t>
  </si>
  <si>
    <t>All the results below are calculated values except for ADMC &amp;/or 15000kPa which are copied from the input data if they are present.</t>
  </si>
  <si>
    <r>
      <t>Plant salt tolerance for a range of published data is available in look up tables. A value of 90% yield is a suitable comparative estimate since the shape of the yield decline functions with increasing EC have been normalised. EC</t>
    </r>
    <r>
      <rPr>
        <vertAlign val="subscript"/>
        <sz val="11"/>
        <color theme="1"/>
        <rFont val="Calibri"/>
        <family val="2"/>
        <scheme val="minor"/>
      </rPr>
      <t>se</t>
    </r>
    <r>
      <rPr>
        <sz val="11"/>
        <color theme="1"/>
        <rFont val="Calibri"/>
        <family val="2"/>
        <scheme val="minor"/>
      </rPr>
      <t xml:space="preserve"> salinity threshold is generally the EC</t>
    </r>
    <r>
      <rPr>
        <vertAlign val="subscript"/>
        <sz val="11"/>
        <color theme="1"/>
        <rFont val="Calibri"/>
        <family val="2"/>
        <scheme val="minor"/>
      </rPr>
      <t>se</t>
    </r>
    <r>
      <rPr>
        <sz val="11"/>
        <color theme="1"/>
        <rFont val="Calibri"/>
        <family val="2"/>
        <scheme val="minor"/>
      </rPr>
      <t xml:space="preserve"> average for root zone depth.</t>
    </r>
  </si>
  <si>
    <t>Version 0.9.1 beta 14 March 2015</t>
  </si>
  <si>
    <t>Fixed a coding error for estimation of ESP at depth in PREDICTIVE CALCULATOR that prevented results showing and FALSE display</t>
  </si>
  <si>
    <t>Improved depth increment interpolation for PAWC calculations in SOIL WATER PARAMETERS</t>
  </si>
  <si>
    <t>Added option to choose display PAWC results in mm or cm per 0.1 m soil depth</t>
  </si>
  <si>
    <t>Minor changes to text to improve understanding and clarification</t>
  </si>
  <si>
    <t>Then difference between this calculated ESP and ESP of 5.</t>
  </si>
  <si>
    <t>May modify to allow user nominated desired ESP value in the future.</t>
  </si>
  <si>
    <t xml:space="preserve">Then difference between this calculated ESP and ESP of 5. </t>
  </si>
  <si>
    <t>Program interpolates missing depth increments up to 0.6 m gap. See Missing depth increments below.</t>
  </si>
  <si>
    <t>Use USL for each depth to calculate BD as per equation E38 and then calculate PAWC as above for E39. Program interpolates missing depth increments up to 0.6 m gap. See Missing depth increments below.</t>
  </si>
  <si>
    <t>Missing depth increments</t>
  </si>
  <si>
    <t>Runoff component of rainfall. Runoff is accounted for in the algorithms using annual rainfall. To adjust for other than Queensland conditions, a variation on this relationship is possible but the result is not known.</t>
  </si>
  <si>
    <t>Note:</t>
  </si>
  <si>
    <r>
      <t>c</t>
    </r>
    <r>
      <rPr>
        <vertAlign val="subscript"/>
        <sz val="11"/>
        <color theme="1"/>
        <rFont val="Arial"/>
        <family val="2"/>
      </rPr>
      <t xml:space="preserve">o </t>
    </r>
    <r>
      <rPr>
        <sz val="11"/>
        <color theme="1"/>
        <rFont val="Arial"/>
        <family val="2"/>
      </rPr>
      <t>= Q</t>
    </r>
    <r>
      <rPr>
        <vertAlign val="subscript"/>
        <sz val="11"/>
        <color theme="1"/>
        <rFont val="Arial"/>
        <family val="2"/>
      </rPr>
      <t>i</t>
    </r>
    <r>
      <rPr>
        <sz val="11"/>
        <color theme="1"/>
        <rFont val="Arial"/>
        <family val="2"/>
      </rPr>
      <t>c</t>
    </r>
    <r>
      <rPr>
        <vertAlign val="subscript"/>
        <sz val="11"/>
        <color theme="1"/>
        <rFont val="Arial"/>
        <family val="2"/>
      </rPr>
      <t xml:space="preserve">i </t>
    </r>
    <r>
      <rPr>
        <sz val="11"/>
        <color theme="1"/>
        <rFont val="Arial"/>
        <family val="2"/>
      </rPr>
      <t>/Q</t>
    </r>
    <r>
      <rPr>
        <vertAlign val="subscript"/>
        <sz val="11"/>
        <color theme="1"/>
        <rFont val="Arial"/>
        <family val="2"/>
      </rPr>
      <t>o</t>
    </r>
  </si>
  <si>
    <r>
      <t>EC</t>
    </r>
    <r>
      <rPr>
        <b/>
        <vertAlign val="subscript"/>
        <sz val="11"/>
        <color theme="1"/>
        <rFont val="Calibri"/>
        <family val="2"/>
        <scheme val="minor"/>
      </rPr>
      <t>i</t>
    </r>
    <r>
      <rPr>
        <b/>
        <sz val="11"/>
        <color theme="1"/>
        <rFont val="Calibri"/>
        <family val="2"/>
        <scheme val="minor"/>
      </rPr>
      <t xml:space="preserve"> (dS/m)</t>
    </r>
  </si>
  <si>
    <r>
      <t>EC</t>
    </r>
    <r>
      <rPr>
        <b/>
        <vertAlign val="subscript"/>
        <sz val="11"/>
        <color theme="1"/>
        <rFont val="Calibri"/>
        <family val="2"/>
        <scheme val="minor"/>
      </rPr>
      <t>i</t>
    </r>
  </si>
  <si>
    <r>
      <t xml:space="preserve">ECse of Ddr </t>
    </r>
    <r>
      <rPr>
        <i/>
        <sz val="12"/>
        <color theme="1"/>
        <rFont val="Calibri"/>
        <family val="2"/>
        <scheme val="minor"/>
      </rPr>
      <t>(dS/m)</t>
    </r>
  </si>
  <si>
    <t>percent</t>
  </si>
  <si>
    <t>Check depth gap</t>
  </si>
  <si>
    <t>Depth gap determines how the interpolation of depths is calculated</t>
  </si>
  <si>
    <t>Depth 1.2</t>
  </si>
  <si>
    <t>PAWC in the last 3 columns of results for each soil is interpolated up to 1m soil depth except for PAWCER which is to 1.2m soil depth. Interpolation between depths is limited to gaps of up to and including 0.34m. You can manually add interim depths in the Predictive Calculator if gaps are greater than 0.34m (Equation E40A).</t>
  </si>
  <si>
    <t>WATER AND SOIL SELECTION</t>
  </si>
  <si>
    <r>
      <t>Equation 9.22 overestimates ESP at low leaching fractions. An empirical correction of LF</t>
    </r>
    <r>
      <rPr>
        <vertAlign val="superscript"/>
        <sz val="11"/>
        <color theme="1"/>
        <rFont val="Arial"/>
        <family val="2"/>
      </rPr>
      <t>0.25</t>
    </r>
    <r>
      <rPr>
        <sz val="11"/>
        <color theme="1"/>
        <rFont val="Arial"/>
        <family val="2"/>
      </rPr>
      <t xml:space="preserve"> instead of LF</t>
    </r>
    <r>
      <rPr>
        <vertAlign val="superscript"/>
        <sz val="11"/>
        <color theme="1"/>
        <rFont val="Arial"/>
        <family val="2"/>
      </rPr>
      <t>0.5</t>
    </r>
    <r>
      <rPr>
        <sz val="11"/>
        <color theme="1"/>
        <rFont val="Arial"/>
        <family val="2"/>
      </rPr>
      <t>. This empirical correction provides an approximate answer.</t>
    </r>
  </si>
  <si>
    <t>Missing values in depth increments are interpolated up to depth difference of 0.34m.</t>
  </si>
  <si>
    <t xml:space="preserve">A manual method can be used where the difference in results is divided by the number of missing increments and the value added or subtracted from the previous depth value depending on whether increasing or decreasing trend. The manually interpolated results need to be added to the profile data in the Predictive Calculator to propagate through to the Soil Water Parameters page. This is not recommended for large gaps unless soil texture is known. </t>
  </si>
  <si>
    <t>Version 1.0.0  - 27 February 2016</t>
  </si>
  <si>
    <t>Clarified error messages in IRRIGATION and SOIL selection box on PREDICTIVE CALCULATOR page</t>
  </si>
  <si>
    <t>Clarity of some instructions has been improved</t>
  </si>
  <si>
    <t>Calculation of cumulative PAWC by PAWCER method extended to 1.2 m depth on SOIL WATER PARAMETERS page</t>
  </si>
  <si>
    <t xml:space="preserve">Changed interpolation of missing values in depth increments from maximum of 0.6 m to 0.34 m difference for improved accuracy. Manual interpolation of values for differences &gt; 0.34 m  </t>
  </si>
  <si>
    <t>Fixed over estimation of ESP 0.9m adj i+r and ESP 0.9m i+r adj Ca in results on PREDICTIVE CALCULATOR page. The over estimation occured more at lower LF values. This is an empirical correction requiring further evaluation. Use with caution</t>
  </si>
  <si>
    <t>Fixed a coding error in preditcing ESP 0.9m i+r adj Ca on PREDICTIVE CALCULATOR page.</t>
  </si>
  <si>
    <r>
      <t xml:space="preserve">Ddi+r/Ddr </t>
    </r>
    <r>
      <rPr>
        <i/>
        <sz val="12"/>
        <color theme="1"/>
        <rFont val="Calibri"/>
        <family val="2"/>
        <scheme val="minor"/>
      </rPr>
      <t>(ratio)</t>
    </r>
  </si>
  <si>
    <r>
      <t>Residual alkali of water. The excess of (HCO</t>
    </r>
    <r>
      <rPr>
        <vertAlign val="subscript"/>
        <sz val="11"/>
        <color rgb="FF000000"/>
        <rFont val="Calibri"/>
        <family val="2"/>
      </rPr>
      <t>3</t>
    </r>
    <r>
      <rPr>
        <sz val="11"/>
        <color rgb="FF000000"/>
        <rFont val="Calibri"/>
        <family val="2"/>
      </rPr>
      <t xml:space="preserve"> + CO</t>
    </r>
    <r>
      <rPr>
        <vertAlign val="subscript"/>
        <sz val="11"/>
        <color rgb="FF000000"/>
        <rFont val="Calibri"/>
        <family val="2"/>
      </rPr>
      <t xml:space="preserve">3) </t>
    </r>
    <r>
      <rPr>
        <sz val="11"/>
        <color rgb="FF000000"/>
        <rFont val="Calibri"/>
        <family val="2"/>
      </rPr>
      <t>minus (Ca + Mg) largely present as NaHCO</t>
    </r>
    <r>
      <rPr>
        <vertAlign val="subscript"/>
        <sz val="11"/>
        <color rgb="FF000000"/>
        <rFont val="Calibri"/>
        <family val="2"/>
      </rPr>
      <t>3</t>
    </r>
  </si>
  <si>
    <t xml:space="preserve">For sandy soils &amp;/or if hydraulic conductivity is not influenced by salt content </t>
  </si>
  <si>
    <t>CHECKBOX</t>
  </si>
  <si>
    <r>
      <t>Confidence</t>
    </r>
    <r>
      <rPr>
        <b/>
        <vertAlign val="superscript"/>
        <sz val="13"/>
        <color theme="1"/>
        <rFont val="Calibri"/>
        <family val="2"/>
        <scheme val="minor"/>
      </rPr>
      <t>#</t>
    </r>
  </si>
  <si>
    <t>Silt</t>
  </si>
  <si>
    <t>Clay - &lt; 0.002 mm particle size</t>
  </si>
  <si>
    <t>Silt -  0.02 to 0.002 mm particle size</t>
  </si>
  <si>
    <t>Confidence</t>
  </si>
  <si>
    <r>
      <t>The confidence in the prediction of LF and Dd based on the R</t>
    </r>
    <r>
      <rPr>
        <vertAlign val="superscript"/>
        <sz val="11"/>
        <color rgb="FF000000"/>
        <rFont val="Calibri"/>
        <family val="2"/>
      </rPr>
      <t>2</t>
    </r>
    <r>
      <rPr>
        <sz val="11"/>
        <color rgb="FF000000"/>
        <rFont val="Calibri"/>
        <family val="2"/>
      </rPr>
      <t xml:space="preserve"> of the soil relationships used to derive LF. See table below</t>
    </r>
  </si>
  <si>
    <t>In the Predictive calculator page is used to assess the confidence in the results for the soil predictions of LF and Dd and estimates of root zone salinity. Only applicable on the Predictive calculator page.</t>
  </si>
  <si>
    <t>A widely used routine soil salinity measurement. Not directly related to field water content or plant salt tolerance unless converted to ECse calc (see ECse calc)</t>
  </si>
  <si>
    <r>
      <t>Confidence of prediction of LF, Dd and associated salt results based on R</t>
    </r>
    <r>
      <rPr>
        <vertAlign val="superscript"/>
        <sz val="11"/>
        <color theme="1"/>
        <rFont val="Calibri"/>
        <family val="2"/>
        <scheme val="minor"/>
      </rPr>
      <t xml:space="preserve">2 </t>
    </r>
    <r>
      <rPr>
        <sz val="11"/>
        <color theme="1"/>
        <rFont val="Calibri"/>
        <family val="2"/>
        <scheme val="minor"/>
      </rPr>
      <t>of soil property relationships in Predictive calculator sheet.</t>
    </r>
  </si>
  <si>
    <t>A confidence rating for the predicted LF, Dd and associated EC and ESP results has been added to the Predictive calculator sheet based on the significance of the derived soil property relationships for each soil clay CCR group. The confidence</t>
  </si>
  <si>
    <r>
      <t>ratings are described in the Abbreviations and glossary page with a table of R</t>
    </r>
    <r>
      <rPr>
        <vertAlign val="superscript"/>
        <sz val="11"/>
        <color theme="1"/>
        <rFont val="Calibri"/>
        <family val="2"/>
        <scheme val="minor"/>
      </rPr>
      <t>2</t>
    </r>
    <r>
      <rPr>
        <sz val="11"/>
        <color theme="1"/>
        <rFont val="Calibri"/>
        <family val="2"/>
        <scheme val="minor"/>
      </rPr>
      <t xml:space="preserve"> values for each clay CCR group.</t>
    </r>
  </si>
  <si>
    <t xml:space="preserve">An option to predict LF and Dd with the salt adjustment algorithm turned off has been added to the Predictive calculator sheet (tick box option). The salt adjustment algorithm accounts for the influence of increased salt concentration on </t>
  </si>
  <si>
    <t xml:space="preserve">   Profile 1 Results</t>
  </si>
  <si>
    <t>Use equation E5 but rainfall = (rainfall + irrigation) both annual in mm or can use default of 1300 mm (for rain+irrig) if no value available. Then need to convert for change in hydraulic conductivity with increased EC using equation 9.7 with the changes as noted</t>
  </si>
  <si>
    <t>1.2   Leaching fraction</t>
  </si>
  <si>
    <r>
      <t>Dd</t>
    </r>
    <r>
      <rPr>
        <vertAlign val="subscript"/>
        <sz val="11"/>
        <color theme="1"/>
        <rFont val="Arial"/>
        <family val="2"/>
      </rPr>
      <t>i+r</t>
    </r>
    <r>
      <rPr>
        <sz val="11"/>
        <color theme="1"/>
        <rFont val="Arial"/>
        <family val="2"/>
      </rPr>
      <t xml:space="preserve"> EC</t>
    </r>
    <r>
      <rPr>
        <vertAlign val="subscript"/>
        <sz val="11"/>
        <color theme="1"/>
        <rFont val="Arial"/>
        <family val="2"/>
      </rPr>
      <t>se</t>
    </r>
    <r>
      <rPr>
        <sz val="11"/>
        <color theme="1"/>
        <rFont val="Arial"/>
        <family val="2"/>
      </rPr>
      <t xml:space="preserve"> = Dd</t>
    </r>
    <r>
      <rPr>
        <vertAlign val="subscript"/>
        <sz val="11"/>
        <color theme="1"/>
        <rFont val="Arial"/>
        <family val="2"/>
      </rPr>
      <t>i+r</t>
    </r>
    <r>
      <rPr>
        <sz val="11"/>
        <color theme="1"/>
        <rFont val="Arial"/>
        <family val="2"/>
      </rPr>
      <t xml:space="preserve"> EC</t>
    </r>
    <r>
      <rPr>
        <vertAlign val="subscript"/>
        <sz val="11"/>
        <color theme="1"/>
        <rFont val="Arial"/>
        <family val="2"/>
      </rPr>
      <t xml:space="preserve">s </t>
    </r>
    <r>
      <rPr>
        <sz val="11"/>
        <color theme="1"/>
        <rFont val="Arial"/>
        <family val="2"/>
      </rPr>
      <t>/ 2.2</t>
    </r>
  </si>
  <si>
    <r>
      <t>SAR Dd</t>
    </r>
    <r>
      <rPr>
        <vertAlign val="subscript"/>
        <sz val="11"/>
        <color theme="1"/>
        <rFont val="Arial"/>
        <family val="2"/>
      </rPr>
      <t>i+r adj Ca</t>
    </r>
  </si>
  <si>
    <r>
      <t>SAR Dd</t>
    </r>
    <r>
      <rPr>
        <vertAlign val="subscript"/>
        <sz val="11"/>
        <color theme="1"/>
        <rFont val="Arial"/>
        <family val="2"/>
      </rPr>
      <t xml:space="preserve">i+r </t>
    </r>
  </si>
  <si>
    <t>RZ ECse av</t>
  </si>
  <si>
    <t>RZ ECse wuw</t>
  </si>
  <si>
    <r>
      <t xml:space="preserve">SALF2 Table of equations </t>
    </r>
    <r>
      <rPr>
        <sz val="13"/>
        <color theme="1"/>
        <rFont val="Arial"/>
        <family val="2"/>
      </rPr>
      <t>as at 12 November 2014, modified 14 March 2015</t>
    </r>
    <r>
      <rPr>
        <b/>
        <sz val="13"/>
        <color theme="1"/>
        <rFont val="Arial"/>
        <family val="2"/>
      </rPr>
      <t xml:space="preserve">, </t>
    </r>
    <r>
      <rPr>
        <sz val="13"/>
        <color theme="1"/>
        <rFont val="Arial"/>
        <family val="2"/>
      </rPr>
      <t>updated 9 August 2019</t>
    </r>
  </si>
  <si>
    <r>
      <t>ESP</t>
    </r>
    <r>
      <rPr>
        <vertAlign val="subscript"/>
        <sz val="11"/>
        <color theme="1"/>
        <rFont val="Arial"/>
        <family val="2"/>
      </rPr>
      <t xml:space="preserve"> 0.1m adj Ca</t>
    </r>
  </si>
  <si>
    <r>
      <t>EC</t>
    </r>
    <r>
      <rPr>
        <vertAlign val="subscript"/>
        <sz val="11"/>
        <color theme="1"/>
        <rFont val="Arial"/>
        <family val="2"/>
      </rPr>
      <t>s</t>
    </r>
    <r>
      <rPr>
        <sz val="11"/>
        <color theme="1"/>
        <rFont val="Arial"/>
        <family val="2"/>
      </rPr>
      <t xml:space="preserve"> of Dd</t>
    </r>
    <r>
      <rPr>
        <vertAlign val="subscript"/>
        <sz val="11"/>
        <color theme="1"/>
        <rFont val="Arial"/>
        <family val="2"/>
      </rPr>
      <t>r</t>
    </r>
  </si>
  <si>
    <r>
      <t>EC</t>
    </r>
    <r>
      <rPr>
        <vertAlign val="subscript"/>
        <sz val="11"/>
        <color theme="1"/>
        <rFont val="Arial"/>
        <family val="2"/>
      </rPr>
      <t>se</t>
    </r>
    <r>
      <rPr>
        <sz val="11"/>
        <color theme="1"/>
        <rFont val="Arial"/>
        <family val="2"/>
      </rPr>
      <t xml:space="preserve"> of Dd</t>
    </r>
    <r>
      <rPr>
        <vertAlign val="subscript"/>
        <sz val="11"/>
        <color theme="1"/>
        <rFont val="Arial"/>
        <family val="2"/>
      </rPr>
      <t>i+r</t>
    </r>
  </si>
  <si>
    <r>
      <t>EC</t>
    </r>
    <r>
      <rPr>
        <vertAlign val="subscript"/>
        <sz val="11"/>
        <color theme="1"/>
        <rFont val="Arial"/>
        <family val="2"/>
      </rPr>
      <t>s</t>
    </r>
    <r>
      <rPr>
        <sz val="11"/>
        <color theme="1"/>
        <rFont val="Arial"/>
        <family val="2"/>
      </rPr>
      <t xml:space="preserve"> of Dd</t>
    </r>
    <r>
      <rPr>
        <vertAlign val="subscript"/>
        <sz val="11"/>
        <color theme="1"/>
        <rFont val="Arial"/>
        <family val="2"/>
      </rPr>
      <t>i+r</t>
    </r>
  </si>
  <si>
    <r>
      <t>EC</t>
    </r>
    <r>
      <rPr>
        <vertAlign val="subscript"/>
        <sz val="11"/>
        <color theme="1"/>
        <rFont val="Arial"/>
        <family val="2"/>
      </rPr>
      <t>se</t>
    </r>
    <r>
      <rPr>
        <sz val="11"/>
        <color theme="1"/>
        <rFont val="Arial"/>
        <family val="2"/>
      </rPr>
      <t xml:space="preserve"> of Dd</t>
    </r>
    <r>
      <rPr>
        <vertAlign val="subscript"/>
        <sz val="11"/>
        <color theme="1"/>
        <rFont val="Arial"/>
        <family val="2"/>
      </rPr>
      <t>r</t>
    </r>
  </si>
  <si>
    <r>
      <t>RZ EC</t>
    </r>
    <r>
      <rPr>
        <vertAlign val="subscript"/>
        <sz val="11"/>
        <color theme="1"/>
        <rFont val="Arial"/>
        <family val="2"/>
      </rPr>
      <t xml:space="preserve">se av </t>
    </r>
  </si>
  <si>
    <r>
      <t>RZ EC</t>
    </r>
    <r>
      <rPr>
        <vertAlign val="subscript"/>
        <sz val="11"/>
        <color theme="1"/>
        <rFont val="Arial"/>
        <family val="2"/>
      </rPr>
      <t xml:space="preserve">se wuw </t>
    </r>
  </si>
  <si>
    <r>
      <t xml:space="preserve">PAWC </t>
    </r>
    <r>
      <rPr>
        <vertAlign val="subscript"/>
        <sz val="11"/>
        <color theme="1"/>
        <rFont val="Arial"/>
        <family val="2"/>
      </rPr>
      <t>Shaw &amp; Yule</t>
    </r>
  </si>
  <si>
    <t>Salt adjusted</t>
  </si>
  <si>
    <t>CCR &lt;0.35</t>
  </si>
  <si>
    <t>0.35-0.55</t>
  </si>
  <si>
    <t>0.55-0.75</t>
  </si>
  <si>
    <t>0.75-0.95</t>
  </si>
  <si>
    <t>&gt;0.95</t>
  </si>
  <si>
    <t>Moderate</t>
  </si>
  <si>
    <t>N/A</t>
  </si>
  <si>
    <r>
      <t>An error in the equation to predict EC</t>
    </r>
    <r>
      <rPr>
        <vertAlign val="subscript"/>
        <sz val="11"/>
        <color theme="1"/>
        <rFont val="Calibri"/>
        <family val="2"/>
        <scheme val="minor"/>
      </rPr>
      <t>se</t>
    </r>
    <r>
      <rPr>
        <sz val="11"/>
        <color theme="1"/>
        <rFont val="Calibri"/>
        <family val="2"/>
        <scheme val="minor"/>
      </rPr>
      <t xml:space="preserve"> from EC</t>
    </r>
    <r>
      <rPr>
        <vertAlign val="subscript"/>
        <sz val="11"/>
        <color theme="1"/>
        <rFont val="Calibri"/>
        <family val="2"/>
        <scheme val="minor"/>
      </rPr>
      <t>1:5</t>
    </r>
    <r>
      <rPr>
        <sz val="11"/>
        <color theme="1"/>
        <rFont val="Calibri"/>
        <family val="2"/>
        <scheme val="minor"/>
      </rPr>
      <t xml:space="preserve"> has been fixed. An equation format error overestimated EC</t>
    </r>
    <r>
      <rPr>
        <vertAlign val="subscript"/>
        <sz val="11"/>
        <color theme="1"/>
        <rFont val="Calibri"/>
        <family val="2"/>
        <scheme val="minor"/>
      </rPr>
      <t>se</t>
    </r>
    <r>
      <rPr>
        <sz val="11"/>
        <color theme="1"/>
        <rFont val="Calibri"/>
        <family val="2"/>
        <scheme val="minor"/>
      </rPr>
      <t xml:space="preserve"> if there was a large proportion of partially soluble salts present.</t>
    </r>
  </si>
  <si>
    <r>
      <t>The prediction of LF</t>
    </r>
    <r>
      <rPr>
        <vertAlign val="subscript"/>
        <sz val="11"/>
        <color theme="1"/>
        <rFont val="Calibri"/>
        <family val="2"/>
        <scheme val="minor"/>
      </rPr>
      <t>i+r</t>
    </r>
    <r>
      <rPr>
        <sz val="11"/>
        <color theme="1"/>
        <rFont val="Calibri"/>
        <family val="2"/>
        <scheme val="minor"/>
      </rPr>
      <t xml:space="preserve"> in the Predictive calculator sheet has been fixed. The incorrect addition of irrigation quantity resulted in smaller LF and Dd</t>
    </r>
    <r>
      <rPr>
        <vertAlign val="subscript"/>
        <sz val="11"/>
        <color theme="1"/>
        <rFont val="Calibri"/>
        <family val="2"/>
        <scheme val="minor"/>
      </rPr>
      <t>i+r</t>
    </r>
    <r>
      <rPr>
        <sz val="11"/>
        <color theme="1"/>
        <rFont val="Calibri"/>
        <family val="2"/>
        <scheme val="minor"/>
      </rPr>
      <t xml:space="preserve"> results for situations with moderate to high irrigation applications.</t>
    </r>
  </si>
  <si>
    <r>
      <t>Equation 3-48 overestimates ESP at low leaching fractions. An empirical correction of LF to LF</t>
    </r>
    <r>
      <rPr>
        <vertAlign val="superscript"/>
        <sz val="11"/>
        <color theme="1"/>
        <rFont val="Arial"/>
        <family val="2"/>
      </rPr>
      <t xml:space="preserve">0.5 </t>
    </r>
    <r>
      <rPr>
        <sz val="11"/>
        <color theme="1"/>
        <rFont val="Arial"/>
        <family val="2"/>
      </rPr>
      <t>was used. In this version it is LF</t>
    </r>
    <r>
      <rPr>
        <vertAlign val="superscript"/>
        <sz val="11"/>
        <color theme="1"/>
        <rFont val="Arial"/>
        <family val="2"/>
      </rPr>
      <t>0.25</t>
    </r>
    <r>
      <rPr>
        <sz val="11"/>
        <color theme="1"/>
        <rFont val="Arial"/>
        <family val="2"/>
      </rPr>
      <t>.  This empirical correction provides an approximate answer only.</t>
    </r>
  </si>
  <si>
    <t xml:space="preserve">soil hydraulic conductivity and soil swelling. This option is only applicable for low clay content soils and possibly some low clay content soils that do not respond to electrolyte concentration. The salt adjustment algorithm is turned on by default. </t>
  </si>
  <si>
    <r>
      <t>The predicted SAR Dd</t>
    </r>
    <r>
      <rPr>
        <vertAlign val="subscript"/>
        <sz val="11"/>
        <color theme="1"/>
        <rFont val="Calibri"/>
        <family val="2"/>
        <scheme val="minor"/>
      </rPr>
      <t>i+r</t>
    </r>
    <r>
      <rPr>
        <sz val="11"/>
        <color theme="1"/>
        <rFont val="Calibri"/>
        <family val="2"/>
        <scheme val="minor"/>
      </rPr>
      <t xml:space="preserve"> at 0.9 m depth &amp; ECs Dd</t>
    </r>
    <r>
      <rPr>
        <vertAlign val="subscript"/>
        <sz val="11"/>
        <color theme="1"/>
        <rFont val="Calibri"/>
        <family val="2"/>
        <scheme val="minor"/>
      </rPr>
      <t>i+r</t>
    </r>
    <r>
      <rPr>
        <sz val="11"/>
        <color theme="1"/>
        <rFont val="Calibri"/>
        <family val="2"/>
        <scheme val="minor"/>
      </rPr>
      <t xml:space="preserve"> &amp; ECse Dd</t>
    </r>
    <r>
      <rPr>
        <vertAlign val="subscript"/>
        <sz val="11"/>
        <color theme="1"/>
        <rFont val="Calibri"/>
        <family val="2"/>
        <scheme val="minor"/>
      </rPr>
      <t xml:space="preserve">i+r </t>
    </r>
    <r>
      <rPr>
        <sz val="11"/>
        <color theme="1"/>
        <rFont val="Calibri"/>
        <family val="2"/>
        <scheme val="minor"/>
      </rPr>
      <t>need to be considered with caution on the Predictive calculator page. The preditions</t>
    </r>
    <r>
      <rPr>
        <vertAlign val="subscript"/>
        <sz val="11"/>
        <color theme="1"/>
        <rFont val="Calibri"/>
        <family val="2"/>
        <scheme val="minor"/>
      </rPr>
      <t xml:space="preserve"> </t>
    </r>
    <r>
      <rPr>
        <sz val="11"/>
        <color theme="1"/>
        <rFont val="Calibri"/>
        <family val="2"/>
        <scheme val="minor"/>
      </rPr>
      <t>are considerably</t>
    </r>
    <r>
      <rPr>
        <vertAlign val="subscript"/>
        <sz val="11"/>
        <color theme="1"/>
        <rFont val="Calibri"/>
        <family val="2"/>
        <scheme val="minor"/>
      </rPr>
      <t xml:space="preserve"> </t>
    </r>
    <r>
      <rPr>
        <sz val="11"/>
        <color theme="1"/>
        <rFont val="Calibri"/>
        <family val="2"/>
        <scheme val="minor"/>
      </rPr>
      <t xml:space="preserve">overestimated if the salt adjustment is turned off. </t>
    </r>
  </si>
  <si>
    <t>Check for Irrigation water</t>
  </si>
  <si>
    <t xml:space="preserve">Rainfall - No irrigation </t>
  </si>
  <si>
    <t>Rainfall no irrigation</t>
  </si>
  <si>
    <t>User-Defined</t>
  </si>
  <si>
    <t>·</t>
  </si>
  <si>
    <t>Clarity of some definitions and text has been improved.</t>
  </si>
  <si>
    <t>Choose plant from drop down list in green box. If a user-defined plant has been added it will appear at the bottom of the list.</t>
  </si>
  <si>
    <t>User-defined</t>
  </si>
  <si>
    <r>
      <rPr>
        <b/>
        <sz val="11"/>
        <color theme="1"/>
        <rFont val="Calibri"/>
        <family val="2"/>
        <scheme val="minor"/>
      </rPr>
      <t>To enter a plant species or variety into the user defined category</t>
    </r>
    <r>
      <rPr>
        <sz val="11"/>
        <color theme="1"/>
        <rFont val="Calibri"/>
        <family val="2"/>
        <scheme val="minor"/>
      </rPr>
      <t xml:space="preserve">, click on the </t>
    </r>
    <r>
      <rPr>
        <u/>
        <sz val="11"/>
        <color theme="1"/>
        <rFont val="Calibri"/>
        <family val="2"/>
        <scheme val="minor"/>
      </rPr>
      <t>Plant Tolerance by Category</t>
    </r>
    <r>
      <rPr>
        <sz val="11"/>
        <color theme="1"/>
        <rFont val="Calibri"/>
        <family val="2"/>
        <scheme val="minor"/>
      </rPr>
      <t xml:space="preserve"> below and enter the relevant data. Then return to this page and click on the green box next to User-defined and a dropdown box will appear where the plant details can be clicked to add to the list. The selected plant can then be selected on the Predictive calculator page at row 13. It will appear at the bottom of the list. Up to 5 user-defined plants can be added. The 90%, 75% and 50% yield does not need to be entered, the salinity threshold and the productivity decrease is required.</t>
    </r>
  </si>
  <si>
    <t xml:space="preserve"> 4     Other irrigation water quality guidelines</t>
  </si>
  <si>
    <t xml:space="preserve"> 5    Models – predictions, accuracy and uncertainty</t>
  </si>
  <si>
    <t xml:space="preserve"> 6   References</t>
  </si>
  <si>
    <t>can use alternatives to estimate ADMC see E27, E28 and E29. ADMC is defined in the Abbreviations and Glossary. The Predictive calculator page defaults to using ADMC if available as the better relationship, if not available then CEC, followed by 1500kPa &amp; clay% in decreasing order of relationship significance.</t>
  </si>
  <si>
    <t>An option to insert user-defined plants and varieties salt tolerance data into the plant salt tolerance database from the Plant Salt Tolerance page.</t>
  </si>
  <si>
    <t>Convert EC 1:5</t>
  </si>
  <si>
    <t>Use to calculate EC 1:5</t>
  </si>
  <si>
    <t>Unit - uS/m or dS/m</t>
  </si>
  <si>
    <t>A warning on the Predictive calculator page that predicted ECse and ECs maybe underestimated if significant sodium sulphate is present in the soil.</t>
  </si>
  <si>
    <t>Rainfall composition is added in a fixed field under Water quality input on the Quick Calculator sheet to explore varying rainfall on LF and Dd</t>
  </si>
  <si>
    <t>Value over 0</t>
  </si>
  <si>
    <r>
      <t>Input</t>
    </r>
    <r>
      <rPr>
        <b/>
        <sz val="12"/>
        <color rgb="FF000000"/>
        <rFont val="Calibri"/>
        <family val="2"/>
        <scheme val="minor"/>
      </rPr>
      <t xml:space="preserve"> </t>
    </r>
    <r>
      <rPr>
        <sz val="12"/>
        <color rgb="FF000000"/>
        <rFont val="Calibri"/>
        <family val="2"/>
        <scheme val="minor"/>
      </rPr>
      <t>water analysis in the Input section, you are able to input data for up to four waters. As a minimum, values of EC and SAR (and at least zero for RA) are required for the Quick Calculator. If you are missing data for EC and SAR values, then you will require data for the water chemical analysis columns to estimate EC and SAR. Full ionic water analysis is required for the most quantitative results and interpretation of data.</t>
    </r>
  </si>
  <si>
    <t>Site Name/No. &amp; water</t>
  </si>
  <si>
    <t>Version 2.0.1a  beta  -  22 August 2019</t>
  </si>
  <si>
    <t>Added irrigation water description alongside soil name in Predictive calculator and fixed missing calculation in Profile 2 (2.0.1b beta)</t>
  </si>
  <si>
    <t>and 2.0.1b   9 September 2019</t>
  </si>
  <si>
    <t>V67 is ESP 0.9</t>
  </si>
  <si>
    <t>is 8 less than SAR (which is 17), then run down increasing list</t>
  </si>
  <si>
    <t>8+1</t>
  </si>
  <si>
    <t>re-do that formula</t>
  </si>
  <si>
    <t>above cell plus 1</t>
  </si>
  <si>
    <t>check percent difference between two left cells</t>
  </si>
  <si>
    <t>if difference is less than 10%, print TRUE</t>
  </si>
  <si>
    <t>Lookup table ( find true, then find BL number, and then count</t>
  </si>
  <si>
    <t>Iterative solution ESP 0.9,</t>
  </si>
  <si>
    <t>Initial</t>
  </si>
  <si>
    <t>Values</t>
  </si>
  <si>
    <t>Soil ESP 0.9,</t>
  </si>
  <si>
    <t>Water SAR</t>
  </si>
  <si>
    <t>Predicted start values</t>
  </si>
  <si>
    <t>number of iterations</t>
  </si>
  <si>
    <t>G65 - EC of the water, full profit figure ESP is V30, V50, V70</t>
  </si>
  <si>
    <t>ESP 0.9</t>
  </si>
  <si>
    <t>if EC is less than SAR then run down increasing list</t>
  </si>
  <si>
    <t>equivalent to V27</t>
  </si>
  <si>
    <t>using X7 and AQ102</t>
  </si>
  <si>
    <t>using AQ82 and W7</t>
  </si>
  <si>
    <t>AQ109</t>
  </si>
  <si>
    <t>AQ102</t>
  </si>
  <si>
    <t>AQ82</t>
  </si>
  <si>
    <t>V27</t>
  </si>
  <si>
    <t>diff 5%</t>
  </si>
  <si>
    <t>Outcome of iterations</t>
  </si>
  <si>
    <t>Number of iterations</t>
  </si>
  <si>
    <t>Increase in ESP per iteration</t>
  </si>
  <si>
    <t>Percent difference</t>
  </si>
  <si>
    <t>Is percent close to 5%</t>
  </si>
  <si>
    <t>ESP of the soil</t>
  </si>
  <si>
    <t>Soil of ESP is less than SAR of water start incrementing the ESP</t>
  </si>
  <si>
    <t>if(CB21/CD21,&lt;0.2,printCB,otherwise FALSE)</t>
  </si>
  <si>
    <t>BC78</t>
  </si>
  <si>
    <t>ECSE av RZ (dS/m)</t>
  </si>
  <si>
    <t>BC79</t>
  </si>
  <si>
    <t>Ecse wuw RZ</t>
  </si>
  <si>
    <t>AW102</t>
  </si>
  <si>
    <t>AW82</t>
  </si>
  <si>
    <t>BA60=AW103</t>
  </si>
  <si>
    <t>BA53=AW83</t>
  </si>
  <si>
    <t>HIDE SAR IN RED</t>
  </si>
  <si>
    <t>AQ103</t>
  </si>
  <si>
    <t>AQ104</t>
  </si>
  <si>
    <t>AQ107</t>
  </si>
  <si>
    <t>AQ108</t>
  </si>
  <si>
    <t>AQ110</t>
  </si>
  <si>
    <t>If soil ESP is greater than 3 x SAR (X7 eg), start with soil ESP 0.9 or 3 times SAR whichever is greater</t>
  </si>
  <si>
    <t>3 x SAR</t>
  </si>
  <si>
    <t>New Soil ESP</t>
  </si>
  <si>
    <t>Optimising for X7 SAR value</t>
  </si>
  <si>
    <t>using Z7 and AQ102</t>
  </si>
  <si>
    <t>S24-28 Quick Calculator</t>
  </si>
  <si>
    <t xml:space="preserve">Which water profile is being used </t>
  </si>
  <si>
    <t>Sourced from AN block</t>
  </si>
  <si>
    <t>Burd 12001253  11/93</t>
  </si>
  <si>
    <t>Tenthill 14320222</t>
  </si>
  <si>
    <t>The option to predict LF and Dd with the salt adjustment turned off (dot point 6 in version 2.0.1b below) has been removed in this version.</t>
  </si>
  <si>
    <t>References to ANZECC/ARMCANZ water quality guidelines have been updated in the Front Page and References</t>
  </si>
  <si>
    <t>Minor changes adjusting layouts and additional text</t>
  </si>
  <si>
    <t>This calculation has been discontinued</t>
  </si>
  <si>
    <t>An indication of the true SAR of the soil solution accounting for concentration of the soil solution by evapotranspiration. It is a very rough guide only and has been deleted from Version 2.2.1</t>
  </si>
  <si>
    <t>A simple method for accounting for the impact of RA in Irrigation water. It is a very rough guide only and too conservative on Ca precipitation. It has been omitted from version 2.2.1.</t>
  </si>
  <si>
    <r>
      <t xml:space="preserve">The SAR of the mix of irrigation water sources adjusted for the precipitation of Ca using the method of Lesch &amp; Suarez(2009). It is estimated for surface soil 0.1 m depth. </t>
    </r>
    <r>
      <rPr>
        <b/>
        <sz val="11"/>
        <color rgb="FF000000"/>
        <rFont val="Calibri"/>
        <family val="2"/>
      </rPr>
      <t>No longer used</t>
    </r>
    <r>
      <rPr>
        <sz val="11"/>
        <color rgb="FF000000"/>
        <rFont val="Calibri"/>
        <family val="2"/>
      </rPr>
      <t xml:space="preserve">. </t>
    </r>
  </si>
  <si>
    <r>
      <t xml:space="preserve">The SAR of the mix of irrigation water sources. </t>
    </r>
    <r>
      <rPr>
        <b/>
        <sz val="11"/>
        <color rgb="FF000000"/>
        <rFont val="Calibri"/>
        <family val="2"/>
      </rPr>
      <t>No longer used</t>
    </r>
    <r>
      <rPr>
        <sz val="11"/>
        <color rgb="FF000000"/>
        <rFont val="Calibri"/>
        <family val="2"/>
      </rPr>
      <t>.</t>
    </r>
  </si>
  <si>
    <t>Soil Profile 2</t>
  </si>
  <si>
    <t>Soil Profile 3</t>
  </si>
  <si>
    <t>*ESP value adjacent is input data at nominated soil depth not an average</t>
  </si>
  <si>
    <t>Uses original soil input ESP at 0.9 m</t>
  </si>
  <si>
    <r>
      <t xml:space="preserve">The general relationships of soil response to EC and ESP have been derived for non-irrigated subsoils for a wide range of rainfalls and applied to soil response to irrigation as explained in the </t>
    </r>
    <r>
      <rPr>
        <b/>
        <sz val="10.5"/>
        <color rgb="FF000000"/>
        <rFont val="Arial"/>
        <family val="2"/>
      </rPr>
      <t>Background and Theory</t>
    </r>
    <r>
      <rPr>
        <sz val="10.5"/>
        <color rgb="FF000000"/>
        <rFont val="Arial"/>
        <family val="2"/>
      </rPr>
      <t xml:space="preserve"> section.</t>
    </r>
  </si>
  <si>
    <t>The relationships have been validated to a reasonable extent and are satisfactory as a guide and decision support but should be modified if local region validation is available or possible.</t>
  </si>
  <si>
    <r>
      <t xml:space="preserve">The guidelines are consistent with ANZECC &amp; ARMCANZ (2000) Australian guidelines with some small differences as outlined in the </t>
    </r>
    <r>
      <rPr>
        <b/>
        <sz val="10.5"/>
        <color rgb="FF000000"/>
        <rFont val="Arial"/>
        <family val="2"/>
      </rPr>
      <t>Equations used in SALF2</t>
    </r>
    <r>
      <rPr>
        <sz val="10.5"/>
        <color rgb="FF000000"/>
        <rFont val="Arial"/>
        <family val="2"/>
      </rPr>
      <t xml:space="preserve"> in the Background and Theory section. Other recently published irrigation water quality guidelines in common use are given in the </t>
    </r>
    <r>
      <rPr>
        <b/>
        <sz val="10.5"/>
        <color rgb="FF000000"/>
        <rFont val="Arial"/>
        <family val="2"/>
      </rPr>
      <t xml:space="preserve">Background and Theory </t>
    </r>
    <r>
      <rPr>
        <sz val="10.5"/>
        <color rgb="FF000000"/>
        <rFont val="Arial"/>
        <family val="2"/>
      </rPr>
      <t xml:space="preserve">section. These guidelines can be used for comparison. </t>
    </r>
  </si>
  <si>
    <r>
      <t xml:space="preserve">SALF2 is available for download from </t>
    </r>
    <r>
      <rPr>
        <sz val="11"/>
        <color theme="3" tint="0.39997558519241921"/>
        <rFont val="Arial"/>
        <family val="2"/>
      </rPr>
      <t>https://publications.qld.gov.au/dataset/salinity-management-handbook</t>
    </r>
    <r>
      <rPr>
        <sz val="11"/>
        <color theme="1"/>
        <rFont val="Arial"/>
        <family val="2"/>
      </rPr>
      <t xml:space="preserve"> </t>
    </r>
  </si>
  <si>
    <r>
      <t xml:space="preserve">Validation for sandy soils with low clay content has not been possible. It is likely that the LF and Dd will be overestimated and hence root zone salinty may be incorrect. This is due to the use of the electrolyte adjustment to account for the increase in soil permeability with higher EC which is used in SALF2. This algorithm was derived from soils with higher clay contents. It is a limitation of SALF2 and notes have been added to the </t>
    </r>
    <r>
      <rPr>
        <b/>
        <sz val="10.5"/>
        <color rgb="FF000000"/>
        <rFont val="Arial"/>
        <family val="2"/>
      </rPr>
      <t xml:space="preserve">Predictive Calculator </t>
    </r>
    <r>
      <rPr>
        <sz val="10.5"/>
        <color rgb="FF000000"/>
        <rFont val="Arial"/>
        <family val="2"/>
      </rPr>
      <t>page which appear when the predicted LF appears to be too high.</t>
    </r>
  </si>
  <si>
    <t>In using the calculators, you agree that neither the authors, developers nor any other party is or will be liable or otherwise responsible for any decision made or any action taken or any action not taken due to your use of any information presented, or predictions made in the calculation tools.</t>
  </si>
  <si>
    <r>
      <t xml:space="preserve">Full iterative solution to soil root zone property changes on irrigation, EC and ESP. </t>
    </r>
    <r>
      <rPr>
        <sz val="12"/>
        <color rgb="FFFF0000"/>
        <rFont val="Calibri"/>
        <family val="2"/>
        <scheme val="minor"/>
      </rPr>
      <t>Implemented in version 2.2.1</t>
    </r>
  </si>
  <si>
    <t>The predicted LF and Dd is considered very high with a predicted value of ≥ 0.8. This is most probably unrealistic.</t>
  </si>
  <si>
    <t>This can be caused by a combination of:</t>
  </si>
  <si>
    <r>
      <t>·</t>
    </r>
    <r>
      <rPr>
        <sz val="7"/>
        <color theme="1"/>
        <rFont val="Times New Roman"/>
        <family val="1"/>
      </rPr>
      <t xml:space="preserve">        </t>
    </r>
    <r>
      <rPr>
        <sz val="11"/>
        <color theme="1"/>
        <rFont val="Calibri"/>
        <family val="2"/>
        <scheme val="minor"/>
      </rPr>
      <t>A sandy textured soil which is too responsive to the electrolyte concentration adjustment used in the model based on the higher clay content soil groups. This is a current known limitation of SALF2</t>
    </r>
  </si>
  <si>
    <r>
      <t>·</t>
    </r>
    <r>
      <rPr>
        <sz val="7"/>
        <color theme="1"/>
        <rFont val="Times New Roman"/>
        <family val="1"/>
      </rPr>
      <t xml:space="preserve">        </t>
    </r>
    <r>
      <rPr>
        <sz val="11"/>
        <color theme="1"/>
        <rFont val="Calibri"/>
        <family val="2"/>
        <scheme val="minor"/>
      </rPr>
      <t>Low confidence of the predictive relationships for this particular clay / CCR soil group (see confidence rating shown above the results in columns U and V).</t>
    </r>
  </si>
  <si>
    <r>
      <t>·</t>
    </r>
    <r>
      <rPr>
        <sz val="7"/>
        <color theme="1"/>
        <rFont val="Times New Roman"/>
        <family val="1"/>
      </rPr>
      <t xml:space="preserve">        </t>
    </r>
    <r>
      <rPr>
        <sz val="11"/>
        <color theme="1"/>
        <rFont val="Calibri"/>
        <family val="2"/>
        <scheme val="minor"/>
      </rPr>
      <t>High annual irrigation amounts being applied.</t>
    </r>
  </si>
  <si>
    <t>Options</t>
  </si>
  <si>
    <r>
      <t>·</t>
    </r>
    <r>
      <rPr>
        <sz val="7"/>
        <color theme="1"/>
        <rFont val="Times New Roman"/>
        <family val="1"/>
      </rPr>
      <t xml:space="preserve">        </t>
    </r>
    <r>
      <rPr>
        <sz val="11"/>
        <color theme="1"/>
        <rFont val="Calibri"/>
        <family val="2"/>
        <scheme val="minor"/>
      </rPr>
      <t>LF and Dd is expected to be high under irrigation of sandy soils and is likely to have an impact on local groundwater which may be a longer-term concern.</t>
    </r>
  </si>
  <si>
    <r>
      <t>·</t>
    </r>
    <r>
      <rPr>
        <sz val="7"/>
        <color theme="1"/>
        <rFont val="Times New Roman"/>
        <family val="1"/>
      </rPr>
      <t xml:space="preserve">        </t>
    </r>
    <r>
      <rPr>
        <sz val="11"/>
        <color theme="1"/>
        <rFont val="Calibri"/>
        <family val="2"/>
        <scheme val="minor"/>
      </rPr>
      <t>Insert the iteratively predicted soil ESP at 0.9 m depth in columns X or Z for the ESP in the input data in column G for the 0.9 m depth interval.  This should confirm the results in columns X or Z depending on which value is used.</t>
    </r>
  </si>
  <si>
    <r>
      <t>·</t>
    </r>
    <r>
      <rPr>
        <sz val="7"/>
        <color theme="1"/>
        <rFont val="Times New Roman"/>
        <family val="1"/>
      </rPr>
      <t xml:space="preserve">        </t>
    </r>
    <r>
      <rPr>
        <sz val="11"/>
        <color theme="1"/>
        <rFont val="Calibri"/>
        <family val="2"/>
        <scheme val="minor"/>
      </rPr>
      <t>Accept this as a known limitation of SALF2 which cannot accurately predict LF, Dd and soil properties for sandy soils.</t>
    </r>
  </si>
  <si>
    <r>
      <rPr>
        <sz val="11"/>
        <color theme="1"/>
        <rFont val="Calibri"/>
        <family val="2"/>
        <scheme val="minor"/>
      </rPr>
      <t xml:space="preserve"># see </t>
    </r>
    <r>
      <rPr>
        <b/>
        <sz val="11"/>
        <color theme="1"/>
        <rFont val="Calibri"/>
        <family val="2"/>
        <scheme val="minor"/>
      </rPr>
      <t>Abbreviations &amp; Glossary</t>
    </r>
    <r>
      <rPr>
        <sz val="11"/>
        <color theme="1"/>
        <rFont val="Calibri"/>
        <family val="2"/>
        <scheme val="minor"/>
      </rPr>
      <t>.  If confidence is very low or low, could check result for nearest clay / CCR group (by altering soil clay % and / or CEC) for an alternative estimate.</t>
    </r>
  </si>
  <si>
    <t>Shaw, RJ 1995. A unified soil property and sodicity model of salt leaching and water movement. PhD thesis, University of Queensland. Available by email to salf2calculator@gmail.com</t>
  </si>
  <si>
    <r>
      <t>Thus if the salt concentration draining below the root zone depth in a soil is in equilibrium with the soil matrix at that depth, and knowing the inputs, the quantity of water draining below the root zone can be estimated. Given a conceptual model of how c</t>
    </r>
    <r>
      <rPr>
        <vertAlign val="subscript"/>
        <sz val="11"/>
        <color theme="1"/>
        <rFont val="Arial"/>
        <family val="2"/>
      </rPr>
      <t>o</t>
    </r>
    <r>
      <rPr>
        <sz val="11"/>
        <color theme="1"/>
        <rFont val="Arial"/>
        <family val="2"/>
      </rPr>
      <t xml:space="preserve"> might be determined, then predictions can be made about the changes the input variables will have on the soil salt content and deep drainage. The basis of this is given in Shaw (1995) and incorporated into the ANZECC &amp; ARMCANZ (2000) guidelines.</t>
    </r>
  </si>
  <si>
    <r>
      <t xml:space="preserve">Validation of the model with field measured results from the published literature is in Shaw (1995) – available on request from </t>
    </r>
    <r>
      <rPr>
        <u/>
        <sz val="11"/>
        <color theme="3" tint="0.39997558519241921"/>
        <rFont val="Arial"/>
        <family val="2"/>
      </rPr>
      <t>salf2calculator@gmail.com</t>
    </r>
  </si>
  <si>
    <t xml:space="preserve">The original algorithms used to derive the predictive model of LF did account for runoff in the general relationships with rainfall. While not exact and regionally based from Queensland (Shaw, 1995), it allowed good predictions of changes in LF with changes in rainfall. This general relationship is presented as equation E48 in section 2 above. No specific correction for runoff is made in the MIXING WATER calculator, and given all the variables, the extra sophistication required was not thought necessary. </t>
  </si>
  <si>
    <t>The ANZECC &amp; ARMCANZ (2000) guidelines provide graphs of the most sensitive and one of the least sensitive soils groups for the relationship of EC and SAR of an irrigation water to minimise soil surface structural degradation particularly during and after rainfall when the flocculating soil salts are leached out of the soil surface. A rainfall of 2000 mm/yr is used which is essentially how much stress is placed on the soil. At high rainfalls, higher ESP of sub soils can be tolerated because there is enough water for leaching, whereas in low rainfall situations, high ESP prevents deep drainage and there is a lack of water to leach the soils. The rainfall curves are broadly equivalent to how much reduction in hydraulic conductivity in the McNeal &amp; Coleman (1966) and other relationships derived on hydraulic conductivity reduction although with a different curve shape as given in Shaw (1995). The chosen value of 2000 mm will result in some degradation of soil structure during and after high rainfall events and is a compromise between having some soil surface problems under episodic rainfall events and being able to use irrigation waters of qualities that are satisfactory for most of the time. This is illustrated clearly using the data of Oster and Schroer (1979) below in Figure 2. The infiltration rates for combinations of irrigation water EC and SAR were carried out in soil columns growing plants which have been equilibrated by prior irrigation for 18 months.</t>
  </si>
  <si>
    <r>
      <t>Figure 2.</t>
    </r>
    <r>
      <rPr>
        <sz val="11"/>
        <color theme="1"/>
        <rFont val="Arial"/>
        <family val="2"/>
      </rPr>
      <t xml:space="preserve"> Infiltration rates (mm/hr) for the soils of Oster and Schroer (1979) shown as numbers beside the data points, and the predictive model equilibrium lines for the same soil group as the soil used in the experiment at four annual rainfall values, figure from Shaw (1995). The results reflect the effect of flocculation by salt and dispersion by Na on soil response.</t>
    </r>
  </si>
  <si>
    <t>in version 2.2.1 see</t>
  </si>
  <si>
    <t>coefficients taken from Table 9.2.8 ANZECC, same as Shaw (1995)</t>
  </si>
  <si>
    <t>Shaw (1995)</t>
  </si>
  <si>
    <r>
      <t>This is approximate since I</t>
    </r>
    <r>
      <rPr>
        <vertAlign val="subscript"/>
        <sz val="11"/>
        <color theme="1"/>
        <rFont val="Arial"/>
        <family val="2"/>
      </rPr>
      <t>s</t>
    </r>
    <r>
      <rPr>
        <sz val="11"/>
        <color theme="1"/>
        <rFont val="Arial"/>
        <family val="2"/>
      </rPr>
      <t xml:space="preserve"> of Equation E3A is not increased by additional Ca required. It also doesn’t directly account for the common ion effect on gypsum solubility except for HCO</t>
    </r>
    <r>
      <rPr>
        <vertAlign val="subscript"/>
        <sz val="11"/>
        <color theme="1"/>
        <rFont val="Arial"/>
        <family val="2"/>
      </rPr>
      <t xml:space="preserve">3 </t>
    </r>
    <r>
      <rPr>
        <sz val="11"/>
        <color theme="1"/>
        <rFont val="Arial"/>
        <family val="2"/>
      </rPr>
      <t>Shaw (1995) Figure 4.2).</t>
    </r>
  </si>
  <si>
    <t>ANZECC &amp; ARMCANZ</t>
  </si>
  <si>
    <t>eqn 9.19      ANZECC &amp; ARMCANZ (2000)</t>
  </si>
  <si>
    <t>ANZECC &amp; ARMCANZ (2000)</t>
  </si>
  <si>
    <t>eqn 9.3  p 9.2-15 ANZECC &amp; ARMCANZ (2000)</t>
  </si>
  <si>
    <t>ANZECC &amp; ARMCANZ (2000) (modified)</t>
  </si>
  <si>
    <t>9.22 ANZECC &amp; ARMCANZ</t>
  </si>
  <si>
    <r>
      <t>(ESP</t>
    </r>
    <r>
      <rPr>
        <vertAlign val="subscript"/>
        <sz val="11"/>
        <color theme="1"/>
        <rFont val="Arial"/>
        <family val="2"/>
      </rPr>
      <t>i+r</t>
    </r>
    <r>
      <rPr>
        <sz val="11"/>
        <color theme="1"/>
        <rFont val="Arial"/>
        <family val="2"/>
      </rPr>
      <t xml:space="preserve"> – ESP of 5) = difference between estimated ESP under irrigation and ESP 5 from permissible SAR table of ANZECC &amp; ARMCANZ (2000)</t>
    </r>
  </si>
  <si>
    <t>Equation 4.16 from Shaw (1994) and (1995). This equation is incorrectly formatted as equation 9.16 in ANZECC / ARMCANZ (2000)</t>
  </si>
  <si>
    <t>ANZECC &amp; ARMCANZ p 9.2-14</t>
  </si>
  <si>
    <t>as used in SMH and ANZECC &amp; ARMCANZ figure</t>
  </si>
  <si>
    <t>With these changes equation (9.7) of ANZECC &amp; ARMCANZ (2000) becomes E7A</t>
  </si>
  <si>
    <t>list of plant salt tolerance from ANZECC &amp; ARMCANZ.</t>
  </si>
  <si>
    <t>Table 9.2.10 ANZECC &amp; ARMCANZ page 9.2-28</t>
  </si>
  <si>
    <t>Acceptable with some surface soil issues (ANZECC &amp; ARMCANZ (2000) guideline</t>
  </si>
  <si>
    <t>Iteration procedure added in version 2.2.1</t>
  </si>
  <si>
    <t>Vertosol  50</t>
  </si>
  <si>
    <t>Soil 55</t>
  </si>
  <si>
    <r>
      <t xml:space="preserve">ANZECC &amp; ARMCANZ (2000) Australian and New Zealand guidelines for fresh and marine water quality. Volume 1 Chapter 4 Section 4.2.4 Irrigation salinity and sodicity and Volume 3 Primary Industries – rationale and background information section 9.2.3 Salinity and sodicity. </t>
    </r>
    <r>
      <rPr>
        <sz val="11"/>
        <color theme="3" tint="0.39997558519241921"/>
        <rFont val="Calibri"/>
        <family val="2"/>
        <scheme val="minor"/>
      </rPr>
      <t>https://www.waterquality.gov.au/sites/default/files/documents/anzecc-armcanz-2000-guidelines-vol1.pdf</t>
    </r>
    <r>
      <rPr>
        <sz val="11"/>
        <rFont val="Calibri"/>
        <family val="2"/>
        <scheme val="minor"/>
      </rPr>
      <t xml:space="preserve"> and </t>
    </r>
    <r>
      <rPr>
        <sz val="11"/>
        <color theme="3" tint="0.39997558519241921"/>
        <rFont val="Calibri"/>
        <family val="2"/>
        <scheme val="minor"/>
      </rPr>
      <t xml:space="preserve">https://www.waterquality.gov.au/sites/default/files/documents/anzecc-armcanz-2000-guidelines-vol3.pdf </t>
    </r>
  </si>
  <si>
    <r>
      <rPr>
        <sz val="11"/>
        <rFont val="Calibri"/>
        <family val="2"/>
        <scheme val="minor"/>
      </rPr>
      <t>ANZECC &amp; ARMCANZ (2000) Australian and New Zealand guidelines for fresh and marine water quality. Volume 1 Chapter 4 Section 4.2.4 Irrigation salinity and sodicity and Volume 3 Primary Industries – rationale and background information section 9.2.3 Salinity and sodicity.</t>
    </r>
    <r>
      <rPr>
        <sz val="11"/>
        <color rgb="FFFF0000"/>
        <rFont val="Calibri"/>
        <family val="2"/>
        <scheme val="minor"/>
      </rPr>
      <t xml:space="preserve"> </t>
    </r>
    <r>
      <rPr>
        <sz val="11"/>
        <color theme="3" tint="0.39997558519241921"/>
        <rFont val="Calibri"/>
        <family val="2"/>
        <scheme val="minor"/>
      </rPr>
      <t xml:space="preserve">https://www.waterquality.gov.au/sites/default/files/documents/anzecc-armcanz-2000-guidelines-vol1.pdf </t>
    </r>
    <r>
      <rPr>
        <sz val="11"/>
        <rFont val="Calibri"/>
        <family val="2"/>
        <scheme val="minor"/>
      </rPr>
      <t>and</t>
    </r>
    <r>
      <rPr>
        <sz val="11"/>
        <color rgb="FFFF0000"/>
        <rFont val="Calibri"/>
        <family val="2"/>
        <scheme val="minor"/>
      </rPr>
      <t xml:space="preserve"> </t>
    </r>
    <r>
      <rPr>
        <sz val="11"/>
        <color theme="3" tint="0.39997558519241921"/>
        <rFont val="Calibri"/>
        <family val="2"/>
        <scheme val="minor"/>
      </rPr>
      <t>https://www.waterquality.gov.au/sites/default/files/documents/anzecc-armcanz-2000-guidelines-vol3.pdf</t>
    </r>
  </si>
  <si>
    <r>
      <t>SAR</t>
    </r>
    <r>
      <rPr>
        <vertAlign val="subscript"/>
        <sz val="11"/>
        <rFont val="Arial"/>
        <family val="2"/>
      </rPr>
      <t>adj Ca</t>
    </r>
    <r>
      <rPr>
        <sz val="11"/>
        <rFont val="Arial"/>
        <family val="2"/>
      </rPr>
      <t xml:space="preserve"> eqn below</t>
    </r>
  </si>
  <si>
    <t>(not implemented)</t>
  </si>
  <si>
    <r>
      <rPr>
        <b/>
        <sz val="11"/>
        <color theme="1"/>
        <rFont val="Calibri"/>
        <family val="2"/>
        <scheme val="minor"/>
      </rPr>
      <t>Inputs:</t>
    </r>
    <r>
      <rPr>
        <sz val="11"/>
        <color theme="1"/>
        <rFont val="Calibri"/>
        <family val="2"/>
        <scheme val="minor"/>
      </rPr>
      <t xml:space="preserve"> plants of interest (specific ion toxicity is not implemented)</t>
    </r>
  </si>
  <si>
    <t>Comparison of predictions with local data  (not implemented)</t>
  </si>
  <si>
    <r>
      <t xml:space="preserve">Release Notes (see </t>
    </r>
    <r>
      <rPr>
        <b/>
        <sz val="11"/>
        <rFont val="Calibri"/>
        <family val="2"/>
        <scheme val="minor"/>
      </rPr>
      <t>Instructions Page</t>
    </r>
    <r>
      <rPr>
        <sz val="11"/>
        <rFont val="Calibri"/>
        <family val="2"/>
        <scheme val="minor"/>
      </rPr>
      <t>)</t>
    </r>
  </si>
  <si>
    <r>
      <t xml:space="preserve">Added iterative procedure to determine ESP 0.9m adj i+r and ESP 0.9m i+r adj Ca in the </t>
    </r>
    <r>
      <rPr>
        <b/>
        <sz val="11"/>
        <rFont val="Calibri"/>
        <family val="2"/>
        <scheme val="minor"/>
      </rPr>
      <t>Predictive Calculator</t>
    </r>
    <r>
      <rPr>
        <sz val="11"/>
        <rFont val="Calibri"/>
        <family val="2"/>
        <scheme val="minor"/>
      </rPr>
      <t xml:space="preserve"> sheet to determine the likely equilibrium ESP at 0.9 m depth from long term irrigation with the nominated irrigation water and rainfall. This procedure iteratively determines the end results when the soil ESP at 0.9 m prior to irrigation differs from that predicted from the SAR and SAR adj Ca of the irrigation water.</t>
    </r>
  </si>
  <si>
    <r>
      <t xml:space="preserve">SAR adj RA has been deleted from water quality calculations in the </t>
    </r>
    <r>
      <rPr>
        <b/>
        <sz val="11"/>
        <rFont val="Calibri"/>
        <family val="2"/>
        <scheme val="minor"/>
      </rPr>
      <t>Quick Calculator</t>
    </r>
    <r>
      <rPr>
        <sz val="11"/>
        <rFont val="Calibri"/>
        <family val="2"/>
        <scheme val="minor"/>
      </rPr>
      <t xml:space="preserve"> and </t>
    </r>
    <r>
      <rPr>
        <b/>
        <sz val="11"/>
        <rFont val="Calibri"/>
        <family val="2"/>
        <scheme val="minor"/>
      </rPr>
      <t>Predictive Calculator</t>
    </r>
    <r>
      <rPr>
        <sz val="11"/>
        <rFont val="Calibri"/>
        <family val="2"/>
        <scheme val="minor"/>
      </rPr>
      <t xml:space="preserve"> pages as the processes for calcium precipitation are more complex than the simple residual alkali calculation and the use of SAR adj Ca follows the preferred procedure as outlined in the </t>
    </r>
    <r>
      <rPr>
        <b/>
        <sz val="11"/>
        <rFont val="Calibri"/>
        <family val="2"/>
        <scheme val="minor"/>
      </rPr>
      <t>Equations</t>
    </r>
    <r>
      <rPr>
        <sz val="11"/>
        <rFont val="Calibri"/>
        <family val="2"/>
        <scheme val="minor"/>
      </rPr>
      <t xml:space="preserve"> </t>
    </r>
    <r>
      <rPr>
        <b/>
        <sz val="11"/>
        <rFont val="Calibri"/>
        <family val="2"/>
        <scheme val="minor"/>
      </rPr>
      <t xml:space="preserve">used in SALF2 </t>
    </r>
    <r>
      <rPr>
        <sz val="11"/>
        <rFont val="Calibri"/>
        <family val="2"/>
        <scheme val="minor"/>
      </rPr>
      <t xml:space="preserve"> under </t>
    </r>
    <r>
      <rPr>
        <b/>
        <sz val="11"/>
        <rFont val="Calibri"/>
        <family val="2"/>
        <scheme val="minor"/>
      </rPr>
      <t>Background and Theory</t>
    </r>
    <r>
      <rPr>
        <sz val="11"/>
        <rFont val="Calibri"/>
        <family val="2"/>
        <scheme val="minor"/>
      </rPr>
      <t xml:space="preserve">. </t>
    </r>
  </si>
  <si>
    <r>
      <t xml:space="preserve">Warnings for high Leaching Fraction and associated Deep drainage have been added on the </t>
    </r>
    <r>
      <rPr>
        <b/>
        <sz val="11"/>
        <rFont val="Calibri"/>
        <family val="2"/>
        <scheme val="minor"/>
      </rPr>
      <t xml:space="preserve">Predictive Calculator </t>
    </r>
    <r>
      <rPr>
        <sz val="11"/>
        <rFont val="Calibri"/>
        <family val="2"/>
        <scheme val="minor"/>
      </rPr>
      <t xml:space="preserve">sheet which will appear when predictive Leaching Fractions are consdiered to be too high. This is included because validation of SALF2 for sandy soils with low clay contents has not been possible. It is likely that the LF and Dd will be overestimated in sandy soils and hence root zone salinty may also be incorrect. This is due to the use of the electrolyte adjustment to account for the increase in soil permeability with higher EC which is used in SALF2. See </t>
    </r>
    <r>
      <rPr>
        <b/>
        <sz val="11"/>
        <rFont val="Calibri"/>
        <family val="2"/>
        <scheme val="minor"/>
      </rPr>
      <t>Limitations</t>
    </r>
    <r>
      <rPr>
        <sz val="11"/>
        <rFont val="Calibri"/>
        <family val="2"/>
        <scheme val="minor"/>
      </rPr>
      <t xml:space="preserve"> below</t>
    </r>
  </si>
  <si>
    <r>
      <t xml:space="preserve">Limitations   - </t>
    </r>
    <r>
      <rPr>
        <sz val="11"/>
        <rFont val="Calibri"/>
        <family val="2"/>
        <scheme val="minor"/>
      </rPr>
      <t>see also the section</t>
    </r>
    <r>
      <rPr>
        <b/>
        <sz val="11"/>
        <rFont val="Calibri"/>
        <family val="2"/>
        <scheme val="minor"/>
      </rPr>
      <t xml:space="preserve"> Limitations, Disclaimer and Copyright</t>
    </r>
    <r>
      <rPr>
        <sz val="11"/>
        <rFont val="Calibri"/>
        <family val="2"/>
        <scheme val="minor"/>
      </rPr>
      <t xml:space="preserve"> on the Front page.</t>
    </r>
  </si>
  <si>
    <r>
      <t xml:space="preserve">The iterative procedure to determine ESP 0.9m adj i+r and ESP 0.9m i+r adj Ca in the </t>
    </r>
    <r>
      <rPr>
        <b/>
        <sz val="11"/>
        <rFont val="Calibri"/>
        <family val="2"/>
        <scheme val="minor"/>
      </rPr>
      <t>Predictive Calculator</t>
    </r>
    <r>
      <rPr>
        <sz val="11"/>
        <rFont val="Calibri"/>
        <family val="2"/>
        <scheme val="minor"/>
      </rPr>
      <t xml:space="preserve"> sheet has an upper limit of SAR = 50 for the irrigation water.  </t>
    </r>
  </si>
  <si>
    <r>
      <t xml:space="preserve">Prediction of results for sandy soils is a limitation of SALF2 and notes have been added to the </t>
    </r>
    <r>
      <rPr>
        <b/>
        <sz val="11"/>
        <rFont val="Calibri"/>
        <family val="2"/>
        <scheme val="minor"/>
      </rPr>
      <t>Predictive Calculator</t>
    </r>
    <r>
      <rPr>
        <sz val="11"/>
        <rFont val="Calibri"/>
        <family val="2"/>
        <scheme val="minor"/>
      </rPr>
      <t xml:space="preserve"> page which appear when the predicted LF appears to be too high as outlined in dot point 4 above.</t>
    </r>
  </si>
  <si>
    <t>Version 2.2.1 beta  -10 March 2021</t>
  </si>
  <si>
    <r>
      <t>·</t>
    </r>
    <r>
      <rPr>
        <sz val="7"/>
        <color theme="1"/>
        <rFont val="Times New Roman"/>
        <family val="1"/>
      </rPr>
      <t xml:space="preserve">        </t>
    </r>
    <r>
      <rPr>
        <sz val="11"/>
        <color theme="1"/>
        <rFont val="Calibri"/>
        <family val="2"/>
        <scheme val="minor"/>
      </rPr>
      <t xml:space="preserve">Use an adjacent clay /CCR group by changing the soil input clay % and/or CEC for the whole profile depth to fit into the adjacent soil group with a higher confidence rating. The soil clay / CCR groups and their confidences can be found in the </t>
    </r>
    <r>
      <rPr>
        <b/>
        <sz val="11"/>
        <color theme="1"/>
        <rFont val="Calibri"/>
        <family val="2"/>
        <scheme val="minor"/>
      </rPr>
      <t xml:space="preserve">Abbreviations and Glossary </t>
    </r>
    <r>
      <rPr>
        <sz val="11"/>
        <color theme="1"/>
        <rFont val="Calibri"/>
        <family val="2"/>
        <scheme val="minor"/>
      </rPr>
      <t>tab accessed from the front page of SALF2.</t>
    </r>
  </si>
  <si>
    <t>Boxes shaded in orange provide a unit option choice.</t>
  </si>
  <si>
    <r>
      <t>Predicted ECse &amp; ECs maybe underestimated if large quantity of Na</t>
    </r>
    <r>
      <rPr>
        <vertAlign val="subscript"/>
        <sz val="10"/>
        <color rgb="FFFF0000"/>
        <rFont val="Calibri"/>
        <family val="2"/>
        <scheme val="minor"/>
      </rPr>
      <t>2</t>
    </r>
    <r>
      <rPr>
        <sz val="10"/>
        <color rgb="FFFF0000"/>
        <rFont val="Calibri"/>
        <family val="2"/>
        <scheme val="minor"/>
      </rPr>
      <t>SO</t>
    </r>
    <r>
      <rPr>
        <vertAlign val="subscript"/>
        <sz val="10"/>
        <color rgb="FFFF0000"/>
        <rFont val="Calibri"/>
        <family val="2"/>
        <scheme val="minor"/>
      </rPr>
      <t>4</t>
    </r>
    <r>
      <rPr>
        <sz val="10"/>
        <color rgb="FFFF0000"/>
        <rFont val="Calibri"/>
        <family val="2"/>
        <scheme val="minor"/>
      </rPr>
      <t xml:space="preserve"> is present. </t>
    </r>
  </si>
  <si>
    <t>Vertosol  101</t>
  </si>
  <si>
    <t>Equilibrium values under long term irrigation by iterative solution using irrigation water by:</t>
  </si>
  <si>
    <t>Yelarbon bore</t>
  </si>
  <si>
    <t>not implemented</t>
  </si>
  <si>
    <t>Time to EC equil</t>
  </si>
  <si>
    <t>Time to EC equilibrium of the soil root zone depth under irrigation.  Not implemented in SALF2.</t>
  </si>
  <si>
    <t>Version 2.2.2  - 29 September 2021</t>
  </si>
  <si>
    <r>
      <t xml:space="preserve">Data Test column for irrigation water input data on </t>
    </r>
    <r>
      <rPr>
        <b/>
        <sz val="11"/>
        <color theme="1"/>
        <rFont val="Calibri"/>
        <family val="2"/>
        <scheme val="minor"/>
      </rPr>
      <t>Quick Calculator</t>
    </r>
    <r>
      <rPr>
        <sz val="11"/>
        <color theme="1"/>
        <rFont val="Calibri"/>
        <family val="2"/>
        <scheme val="minor"/>
      </rPr>
      <t xml:space="preserve"> page now shows red when the difference between sum of cations and sum of anions is greater than 10%.</t>
    </r>
  </si>
  <si>
    <r>
      <t xml:space="preserve">Text 'not implemented' inserted in Time to EC equil (years) result column on </t>
    </r>
    <r>
      <rPr>
        <b/>
        <sz val="11"/>
        <color theme="1"/>
        <rFont val="Calibri"/>
        <family val="2"/>
        <scheme val="minor"/>
      </rPr>
      <t>Predictive Calculator</t>
    </r>
    <r>
      <rPr>
        <sz val="11"/>
        <color theme="1"/>
        <rFont val="Calibri"/>
        <family val="2"/>
        <scheme val="minor"/>
      </rPr>
      <t xml:space="preserve"> page to minimise confusion as this option has not yet been implemented. </t>
    </r>
  </si>
  <si>
    <r>
      <t xml:space="preserve">Fixed missing calculation of ECse and ECs for depth increment number 9 in Profile 2 on </t>
    </r>
    <r>
      <rPr>
        <b/>
        <sz val="11"/>
        <color theme="1"/>
        <rFont val="Calibri"/>
        <family val="2"/>
        <scheme val="minor"/>
      </rPr>
      <t>Predictive calculator</t>
    </r>
    <r>
      <rPr>
        <sz val="11"/>
        <color theme="1"/>
        <rFont val="Calibri"/>
        <family val="2"/>
        <scheme val="minor"/>
      </rPr>
      <t xml:space="preserve"> page.</t>
    </r>
  </si>
  <si>
    <t xml:space="preserve">    11 February 2022</t>
  </si>
  <si>
    <t xml:space="preserve">2.2.2a </t>
  </si>
  <si>
    <t>Version 2.2.2a - 11 February 2022</t>
  </si>
  <si>
    <t>Minor text change in the explanation of confidence under Abbreviations and Glossary</t>
  </si>
  <si>
    <t>For low confidence clay/CCR group, it is possible to check predicted values by using an adjacent Clay/CCR group (with higher confidence) by adjusting clay% and CEC in the soil data inputs. Careful evaluation of the results is needed for some adjacent groups where there may be larger changes in the results.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</si>
</sst>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00"/>
  </numFmts>
  <fonts count="111">
    <font>
      <sz val="11"/>
      <color theme="1"/>
      <name val="Calibri"/>
      <family val="2"/>
      <scheme val="minor"/>
    </font>
    <font>
      <b/>
      <sz val="11"/>
      <color theme="1"/>
      <name val="Calibri"/>
      <family val="2"/>
      <scheme val="minor"/>
    </font>
    <font>
      <u/>
      <sz val="11"/>
      <color theme="10"/>
      <name val="Calibri"/>
      <family val="2"/>
      <scheme val="minor"/>
    </font>
    <font>
      <vertAlign val="subscript"/>
      <sz val="11"/>
      <color theme="1"/>
      <name val="Calibri"/>
      <family val="2"/>
      <scheme val="minor"/>
    </font>
    <font>
      <sz val="11"/>
      <color theme="1"/>
      <name val="Calibri"/>
      <family val="2"/>
    </font>
    <font>
      <sz val="11"/>
      <color theme="1"/>
      <name val="Arial"/>
      <family val="2"/>
    </font>
    <font>
      <b/>
      <sz val="9"/>
      <color theme="1"/>
      <name val="Times New Roman"/>
      <family val="1"/>
    </font>
    <font>
      <b/>
      <vertAlign val="subscript"/>
      <sz val="9"/>
      <color theme="1"/>
      <name val="Times New Roman"/>
      <family val="1"/>
    </font>
    <font>
      <b/>
      <i/>
      <sz val="12"/>
      <color theme="1"/>
      <name val="Times New Roman"/>
      <family val="1"/>
    </font>
    <font>
      <b/>
      <sz val="12"/>
      <color theme="1"/>
      <name val="Times New Roman"/>
      <family val="1"/>
    </font>
    <font>
      <sz val="9"/>
      <color theme="1"/>
      <name val="Times New Roman"/>
      <family val="1"/>
    </font>
    <font>
      <i/>
      <sz val="9"/>
      <color theme="1"/>
      <name val="Times New Roman"/>
      <family val="1"/>
    </font>
    <font>
      <b/>
      <sz val="11"/>
      <color theme="1"/>
      <name val="Arial"/>
      <family val="2"/>
    </font>
    <font>
      <b/>
      <sz val="24"/>
      <color theme="1"/>
      <name val="Calibri"/>
      <family val="2"/>
      <scheme val="minor"/>
    </font>
    <font>
      <b/>
      <sz val="14"/>
      <color theme="1"/>
      <name val="Calibri"/>
      <family val="2"/>
      <scheme val="minor"/>
    </font>
    <font>
      <i/>
      <sz val="11"/>
      <color theme="1"/>
      <name val="Calibri"/>
      <family val="2"/>
      <scheme val="minor"/>
    </font>
    <font>
      <sz val="10"/>
      <color theme="1"/>
      <name val="Arial"/>
      <family val="2"/>
    </font>
    <font>
      <sz val="7"/>
      <color theme="1"/>
      <name val="Times New Roman"/>
      <family val="1"/>
    </font>
    <font>
      <sz val="26"/>
      <color theme="1"/>
      <name val="Cooper Black"/>
      <family val="1"/>
    </font>
    <font>
      <sz val="16"/>
      <color theme="1"/>
      <name val="Cambria"/>
      <family val="1"/>
      <scheme val="major"/>
    </font>
    <font>
      <b/>
      <sz val="20"/>
      <color theme="1"/>
      <name val="Calibri"/>
      <family val="2"/>
      <scheme val="minor"/>
    </font>
    <font>
      <b/>
      <sz val="11"/>
      <color rgb="FFFF0000"/>
      <name val="Calibri"/>
      <family val="2"/>
      <scheme val="minor"/>
    </font>
    <font>
      <b/>
      <sz val="16"/>
      <color theme="1"/>
      <name val="Calibri"/>
      <family val="2"/>
      <scheme val="minor"/>
    </font>
    <font>
      <b/>
      <vertAlign val="subscript"/>
      <sz val="11"/>
      <color theme="1"/>
      <name val="Calibri"/>
      <family val="2"/>
      <scheme val="minor"/>
    </font>
    <font>
      <sz val="10.5"/>
      <color rgb="FF000000"/>
      <name val="Arial"/>
      <family val="2"/>
    </font>
    <font>
      <b/>
      <sz val="11"/>
      <name val="Arial"/>
      <family val="2"/>
    </font>
    <font>
      <sz val="11"/>
      <color rgb="FF000000"/>
      <name val="Arial"/>
      <family val="2"/>
    </font>
    <font>
      <i/>
      <sz val="11"/>
      <color rgb="FF000000"/>
      <name val="Arial"/>
      <family val="2"/>
    </font>
    <font>
      <sz val="11"/>
      <color rgb="FF0000FF"/>
      <name val="Arial"/>
      <family val="2"/>
    </font>
    <font>
      <sz val="9"/>
      <color theme="1"/>
      <name val="Calibri"/>
      <family val="2"/>
      <scheme val="minor"/>
    </font>
    <font>
      <sz val="11"/>
      <color rgb="FF1F497D"/>
      <name val="Calibri"/>
      <family val="2"/>
      <scheme val="minor"/>
    </font>
    <font>
      <sz val="14"/>
      <color theme="1"/>
      <name val="Calibri"/>
      <family val="2"/>
      <scheme val="minor"/>
    </font>
    <font>
      <i/>
      <sz val="16"/>
      <color theme="1"/>
      <name val="Calibri"/>
      <family val="2"/>
      <scheme val="minor"/>
    </font>
    <font>
      <b/>
      <sz val="12"/>
      <color theme="1"/>
      <name val="Calibri"/>
      <family val="2"/>
      <scheme val="minor"/>
    </font>
    <font>
      <i/>
      <sz val="18"/>
      <color theme="1"/>
      <name val="Calibri"/>
      <family val="2"/>
      <scheme val="minor"/>
    </font>
    <font>
      <b/>
      <sz val="22"/>
      <color theme="1"/>
      <name val="Calibri"/>
      <family val="2"/>
      <scheme val="minor"/>
    </font>
    <font>
      <sz val="8"/>
      <color theme="1"/>
      <name val="Calibri"/>
      <family val="2"/>
      <scheme val="minor"/>
    </font>
    <font>
      <sz val="11"/>
      <color rgb="FFFF0000"/>
      <name val="Calibri"/>
      <family val="2"/>
      <scheme val="minor"/>
    </font>
    <font>
      <i/>
      <sz val="11"/>
      <name val="Calibri"/>
      <family val="2"/>
      <scheme val="minor"/>
    </font>
    <font>
      <sz val="16"/>
      <color theme="1"/>
      <name val="Calibri"/>
      <family val="2"/>
      <scheme val="minor"/>
    </font>
    <font>
      <i/>
      <sz val="14"/>
      <color theme="1"/>
      <name val="Calibri"/>
      <family val="2"/>
      <scheme val="minor"/>
    </font>
    <font>
      <b/>
      <sz val="11"/>
      <color rgb="FF000000"/>
      <name val="Calibri"/>
      <family val="2"/>
    </font>
    <font>
      <sz val="11"/>
      <color rgb="FF000000"/>
      <name val="Calibri"/>
      <family val="2"/>
    </font>
    <font>
      <vertAlign val="superscript"/>
      <sz val="11"/>
      <color rgb="FF000000"/>
      <name val="Calibri"/>
      <family val="2"/>
    </font>
    <font>
      <vertAlign val="subscript"/>
      <sz val="11"/>
      <color rgb="FF000000"/>
      <name val="Calibri"/>
      <family val="2"/>
    </font>
    <font>
      <b/>
      <sz val="18"/>
      <color theme="1"/>
      <name val="Calibri"/>
      <family val="2"/>
      <scheme val="minor"/>
    </font>
    <font>
      <sz val="12"/>
      <color theme="1"/>
      <name val="Calibri"/>
      <family val="2"/>
      <scheme val="minor"/>
    </font>
    <font>
      <u/>
      <sz val="11"/>
      <color theme="1"/>
      <name val="Calibri"/>
      <family val="2"/>
      <scheme val="minor"/>
    </font>
    <font>
      <sz val="10"/>
      <color theme="1"/>
      <name val="Calibri"/>
      <family val="2"/>
      <scheme val="minor"/>
    </font>
    <font>
      <sz val="11"/>
      <name val="Calibri"/>
      <family val="2"/>
      <scheme val="minor"/>
    </font>
    <font>
      <b/>
      <sz val="11"/>
      <color rgb="FFC00000"/>
      <name val="Calibri"/>
      <family val="2"/>
      <scheme val="minor"/>
    </font>
    <font>
      <b/>
      <sz val="11"/>
      <color theme="3" tint="0.39997558519241921"/>
      <name val="Calibri"/>
      <family val="2"/>
      <scheme val="minor"/>
    </font>
    <font>
      <b/>
      <sz val="11"/>
      <color rgb="FF0070C0"/>
      <name val="Calibri"/>
      <family val="2"/>
      <scheme val="minor"/>
    </font>
    <font>
      <b/>
      <sz val="12"/>
      <color theme="1"/>
      <name val="Arial"/>
      <family val="2"/>
    </font>
    <font>
      <sz val="11"/>
      <color rgb="FF000000"/>
      <name val="Calibri"/>
      <family val="2"/>
      <scheme val="minor"/>
    </font>
    <font>
      <sz val="12"/>
      <color rgb="FF000000"/>
      <name val="Calibri"/>
      <family val="2"/>
    </font>
    <font>
      <b/>
      <sz val="12"/>
      <color rgb="FFFF0000"/>
      <name val="Calibri"/>
      <family val="2"/>
      <scheme val="minor"/>
    </font>
    <font>
      <sz val="12"/>
      <name val="Calibri"/>
      <family val="2"/>
      <scheme val="minor"/>
    </font>
    <font>
      <b/>
      <sz val="11"/>
      <color rgb="FF000000"/>
      <name val="Arial"/>
      <family val="2"/>
    </font>
    <font>
      <vertAlign val="subscript"/>
      <sz val="11"/>
      <color rgb="FF000000"/>
      <name val="Arial"/>
      <family val="2"/>
    </font>
    <font>
      <sz val="12"/>
      <color rgb="FF000000"/>
      <name val="Calibri"/>
      <family val="2"/>
      <scheme val="minor"/>
    </font>
    <font>
      <b/>
      <sz val="12"/>
      <color rgb="FF000000"/>
      <name val="Calibri"/>
      <family val="2"/>
      <scheme val="minor"/>
    </font>
    <font>
      <i/>
      <sz val="12"/>
      <color theme="1"/>
      <name val="Calibri"/>
      <family val="2"/>
      <scheme val="minor"/>
    </font>
    <font>
      <i/>
      <vertAlign val="subscript"/>
      <sz val="14"/>
      <color theme="1"/>
      <name val="Calibri"/>
      <family val="2"/>
      <scheme val="minor"/>
    </font>
    <font>
      <vertAlign val="subscript"/>
      <sz val="11"/>
      <color theme="1"/>
      <name val="Arial"/>
      <family val="2"/>
    </font>
    <font>
      <vertAlign val="superscript"/>
      <sz val="11"/>
      <color theme="1"/>
      <name val="Arial"/>
      <family val="2"/>
    </font>
    <font>
      <sz val="11"/>
      <color rgb="FFFF0000"/>
      <name val="Arial"/>
      <family val="2"/>
    </font>
    <font>
      <sz val="11"/>
      <color theme="1"/>
      <name val="Symbol"/>
      <family val="1"/>
      <charset val="2"/>
    </font>
    <font>
      <vertAlign val="subscript"/>
      <sz val="12"/>
      <color theme="1"/>
      <name val="Calibri"/>
      <family val="2"/>
      <scheme val="minor"/>
    </font>
    <font>
      <b/>
      <i/>
      <sz val="11"/>
      <color theme="1"/>
      <name val="Calibri"/>
      <family val="2"/>
      <scheme val="minor"/>
    </font>
    <font>
      <i/>
      <sz val="11"/>
      <color theme="1"/>
      <name val="Arial"/>
      <family val="2"/>
    </font>
    <font>
      <b/>
      <i/>
      <sz val="11"/>
      <color theme="1"/>
      <name val="Arial"/>
      <family val="2"/>
    </font>
    <font>
      <sz val="8"/>
      <color theme="1"/>
      <name val="Arial"/>
      <family val="2"/>
    </font>
    <font>
      <sz val="12"/>
      <color theme="1"/>
      <name val="Arial"/>
      <family val="2"/>
    </font>
    <font>
      <vertAlign val="subscript"/>
      <sz val="12"/>
      <color theme="1"/>
      <name val="Arial"/>
      <family val="2"/>
    </font>
    <font>
      <sz val="11"/>
      <color theme="1"/>
      <name val="Wingdings 3"/>
      <family val="1"/>
      <charset val="2"/>
    </font>
    <font>
      <sz val="14"/>
      <color theme="1"/>
      <name val="Arial"/>
      <family val="2"/>
    </font>
    <font>
      <b/>
      <sz val="13"/>
      <color theme="1"/>
      <name val="Arial"/>
      <family val="2"/>
    </font>
    <font>
      <sz val="11"/>
      <color theme="10"/>
      <name val="Calibri"/>
      <family val="2"/>
      <scheme val="minor"/>
    </font>
    <font>
      <b/>
      <sz val="11"/>
      <name val="Calibri"/>
      <family val="2"/>
      <scheme val="minor"/>
    </font>
    <font>
      <u/>
      <sz val="11"/>
      <color theme="10"/>
      <name val="Arial"/>
      <family val="2"/>
    </font>
    <font>
      <sz val="12"/>
      <color rgb="FF000000"/>
      <name val="Arial"/>
      <family val="2"/>
    </font>
    <font>
      <i/>
      <sz val="11"/>
      <color rgb="FF211D1E"/>
      <name val="Calibri"/>
      <family val="2"/>
      <scheme val="minor"/>
    </font>
    <font>
      <sz val="11"/>
      <color rgb="FF211D1E"/>
      <name val="Calibri"/>
      <family val="2"/>
      <scheme val="minor"/>
    </font>
    <font>
      <u/>
      <sz val="11"/>
      <color rgb="FF0070C0"/>
      <name val="Arial"/>
      <family val="2"/>
    </font>
    <font>
      <u/>
      <sz val="11"/>
      <color theme="3" tint="0.39997558519241921"/>
      <name val="Arial"/>
      <family val="2"/>
    </font>
    <font>
      <sz val="13"/>
      <color theme="1"/>
      <name val="Arial"/>
      <family val="2"/>
    </font>
    <font>
      <sz val="11"/>
      <color theme="1"/>
      <name val="Arial Unicode MS"/>
      <family val="2"/>
    </font>
    <font>
      <sz val="11"/>
      <name val="Calibri"/>
      <family val="2"/>
    </font>
    <font>
      <u/>
      <sz val="10.5"/>
      <color rgb="FF0070C0"/>
      <name val="Arial"/>
      <family val="2"/>
    </font>
    <font>
      <b/>
      <i/>
      <sz val="13"/>
      <color theme="1"/>
      <name val="Calibri"/>
      <family val="2"/>
      <scheme val="minor"/>
    </font>
    <font>
      <sz val="11"/>
      <name val="Arial"/>
      <family val="2"/>
    </font>
    <font>
      <b/>
      <sz val="10"/>
      <color theme="0"/>
      <name val="Calibri"/>
      <family val="2"/>
      <scheme val="minor"/>
    </font>
    <font>
      <b/>
      <sz val="14"/>
      <name val="Calibri"/>
      <family val="2"/>
      <scheme val="minor"/>
    </font>
    <font>
      <b/>
      <sz val="13"/>
      <color theme="1"/>
      <name val="Calibri"/>
      <family val="2"/>
      <scheme val="minor"/>
    </font>
    <font>
      <b/>
      <vertAlign val="superscript"/>
      <sz val="13"/>
      <color theme="1"/>
      <name val="Calibri"/>
      <family val="2"/>
      <scheme val="minor"/>
    </font>
    <font>
      <vertAlign val="superscript"/>
      <sz val="11"/>
      <color theme="1"/>
      <name val="Calibri"/>
      <family val="2"/>
      <scheme val="minor"/>
    </font>
    <font>
      <b/>
      <sz val="16"/>
      <color theme="1"/>
      <name val="Calibri"/>
      <family val="2"/>
    </font>
    <font>
      <sz val="9"/>
      <color theme="1"/>
      <name val="Arial"/>
      <family val="2"/>
    </font>
    <font>
      <b/>
      <i/>
      <sz val="11"/>
      <color rgb="FFFF0000"/>
      <name val="Calibri"/>
      <family val="2"/>
      <scheme val="minor"/>
    </font>
    <font>
      <sz val="12"/>
      <color rgb="FFFF0000"/>
      <name val="Calibri"/>
      <family val="2"/>
      <scheme val="minor"/>
    </font>
    <font>
      <b/>
      <sz val="10"/>
      <color theme="1"/>
      <name val="Calibri"/>
      <family val="2"/>
      <scheme val="minor"/>
    </font>
    <font>
      <b/>
      <sz val="10"/>
      <name val="Calibri"/>
      <family val="2"/>
      <scheme val="minor"/>
    </font>
    <font>
      <i/>
      <sz val="11"/>
      <color rgb="FFFF0000"/>
      <name val="Calibri"/>
      <family val="2"/>
      <scheme val="minor"/>
    </font>
    <font>
      <b/>
      <sz val="10.5"/>
      <color rgb="FF000000"/>
      <name val="Arial"/>
      <family val="2"/>
    </font>
    <font>
      <sz val="11"/>
      <color theme="3" tint="0.39997558519241921"/>
      <name val="Arial"/>
      <family val="2"/>
    </font>
    <font>
      <sz val="11"/>
      <color theme="3" tint="0.39997558519241921"/>
      <name val="Calibri"/>
      <family val="2"/>
      <scheme val="minor"/>
    </font>
    <font>
      <vertAlign val="subscript"/>
      <sz val="11"/>
      <name val="Arial"/>
      <family val="2"/>
    </font>
    <font>
      <b/>
      <i/>
      <sz val="11"/>
      <name val="Calibri"/>
      <family val="2"/>
      <scheme val="minor"/>
    </font>
    <font>
      <sz val="10"/>
      <color rgb="FFFF0000"/>
      <name val="Calibri"/>
      <family val="2"/>
      <scheme val="minor"/>
    </font>
    <font>
      <vertAlign val="subscript"/>
      <sz val="10"/>
      <color rgb="FFFF0000"/>
      <name val="Calibri"/>
      <family val="2"/>
      <scheme val="minor"/>
    </font>
  </fonts>
  <fills count="21">
    <fill>
      <patternFill patternType="none"/>
    </fill>
    <fill>
      <patternFill patternType="gray125"/>
    </fill>
    <fill>
      <patternFill patternType="solid">
        <fgColor theme="9" tint="0.7999816888943144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bgColor indexed="64"/>
      </patternFill>
    </fill>
    <fill>
      <patternFill patternType="solid">
        <fgColor rgb="FFFFC000"/>
        <bgColor indexed="64"/>
      </patternFill>
    </fill>
    <fill>
      <patternFill patternType="solid">
        <fgColor rgb="FFB9FFBB"/>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D9FFDA"/>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39997558519241921"/>
        <bgColor indexed="64"/>
      </patternFill>
    </fill>
  </fills>
  <borders count="10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style="hair">
        <color auto="1"/>
      </left>
      <right style="hair">
        <color auto="1"/>
      </right>
      <top style="hair">
        <color auto="1"/>
      </top>
      <bottom style="hair">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thin">
        <color indexed="64"/>
      </bottom>
      <diagonal/>
    </border>
    <border>
      <left style="medium">
        <color auto="1"/>
      </left>
      <right style="medium">
        <color auto="1"/>
      </right>
      <top style="hair">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medium">
        <color theme="0"/>
      </left>
      <right/>
      <top/>
      <bottom/>
      <diagonal/>
    </border>
    <border>
      <left/>
      <right style="double">
        <color indexed="64"/>
      </right>
      <top style="double">
        <color indexed="64"/>
      </top>
      <bottom style="double">
        <color indexed="64"/>
      </bottom>
      <diagonal/>
    </border>
    <border>
      <left style="double">
        <color indexed="64"/>
      </left>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medium">
        <color indexed="64"/>
      </bottom>
      <diagonal/>
    </border>
    <border>
      <left style="medium">
        <color theme="0"/>
      </left>
      <right/>
      <top style="medium">
        <color indexed="64"/>
      </top>
      <bottom/>
      <diagonal/>
    </border>
    <border>
      <left style="medium">
        <color indexed="64"/>
      </left>
      <right style="medium">
        <color indexed="64"/>
      </right>
      <top/>
      <bottom/>
      <diagonal/>
    </border>
    <border>
      <left/>
      <right style="dotted">
        <color indexed="64"/>
      </right>
      <top style="dotted">
        <color indexed="64"/>
      </top>
      <bottom/>
      <diagonal/>
    </border>
    <border>
      <left/>
      <right style="dotted">
        <color indexed="64"/>
      </right>
      <top/>
      <bottom style="dotted">
        <color indexed="64"/>
      </bottom>
      <diagonal/>
    </border>
    <border>
      <left/>
      <right style="dotted">
        <color indexed="64"/>
      </right>
      <top/>
      <bottom/>
      <diagonal/>
    </border>
    <border>
      <left style="dotted">
        <color indexed="64"/>
      </left>
      <right/>
      <top/>
      <bottom/>
      <diagonal/>
    </border>
    <border>
      <left style="dotted">
        <color auto="1"/>
      </left>
      <right/>
      <top style="dotted">
        <color auto="1"/>
      </top>
      <bottom/>
      <diagonal/>
    </border>
    <border>
      <left/>
      <right/>
      <top style="dotted">
        <color auto="1"/>
      </top>
      <bottom/>
      <diagonal/>
    </border>
    <border>
      <left style="dotted">
        <color auto="1"/>
      </left>
      <right/>
      <top/>
      <bottom style="dotted">
        <color auto="1"/>
      </bottom>
      <diagonal/>
    </border>
    <border>
      <left/>
      <right/>
      <top/>
      <bottom style="dotted">
        <color auto="1"/>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medium">
        <color indexed="64"/>
      </left>
      <right/>
      <top style="medium">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double">
        <color indexed="64"/>
      </right>
      <top style="thin">
        <color auto="1"/>
      </top>
      <bottom style="thin">
        <color indexed="64"/>
      </bottom>
      <diagonal/>
    </border>
  </borders>
  <cellStyleXfs count="2">
    <xf numFmtId="0" fontId="0" fillId="0" borderId="0"/>
    <xf numFmtId="0" fontId="2" fillId="0" borderId="0" applyNumberFormat="0" applyFill="0" applyBorder="0" applyAlignment="0" applyProtection="0"/>
  </cellStyleXfs>
  <cellXfs count="1334">
    <xf numFmtId="0" fontId="0" fillId="0" borderId="0" xfId="0"/>
    <xf numFmtId="0" fontId="0" fillId="0" borderId="0" xfId="0" applyAlignment="1">
      <alignment horizontal="left"/>
    </xf>
    <xf numFmtId="0" fontId="0" fillId="0" borderId="0" xfId="0" applyAlignment="1">
      <alignment horizontal="left" indent="1"/>
    </xf>
    <xf numFmtId="0" fontId="0" fillId="0" borderId="0" xfId="0" applyNumberFormat="1"/>
    <xf numFmtId="0" fontId="1" fillId="0" borderId="0" xfId="0" applyFont="1"/>
    <xf numFmtId="0" fontId="0" fillId="0" borderId="0" xfId="0"/>
    <xf numFmtId="0" fontId="0" fillId="0" borderId="0" xfId="0" applyAlignment="1">
      <alignment vertical="center"/>
    </xf>
    <xf numFmtId="0" fontId="0" fillId="0" borderId="0" xfId="0" applyBorder="1"/>
    <xf numFmtId="0" fontId="0" fillId="2" borderId="4" xfId="0" applyFill="1" applyBorder="1"/>
    <xf numFmtId="0" fontId="4" fillId="0" borderId="0" xfId="0" applyFont="1" applyBorder="1"/>
    <xf numFmtId="0" fontId="0" fillId="0" borderId="0" xfId="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Border="1"/>
    <xf numFmtId="0" fontId="0" fillId="0" borderId="5" xfId="0" applyBorder="1"/>
    <xf numFmtId="0" fontId="0" fillId="0" borderId="0" xfId="0" applyFill="1" applyBorder="1"/>
    <xf numFmtId="0" fontId="0" fillId="0" borderId="4" xfId="0" applyFill="1" applyBorder="1"/>
    <xf numFmtId="0" fontId="0" fillId="0" borderId="5" xfId="0" applyFill="1" applyBorder="1"/>
    <xf numFmtId="0" fontId="0" fillId="0" borderId="12" xfId="0" applyBorder="1"/>
    <xf numFmtId="0" fontId="0" fillId="0" borderId="13" xfId="0" applyFill="1" applyBorder="1"/>
    <xf numFmtId="0" fontId="0" fillId="0" borderId="13" xfId="0" applyBorder="1"/>
    <xf numFmtId="0" fontId="0" fillId="0" borderId="0" xfId="0"/>
    <xf numFmtId="0" fontId="1" fillId="0" borderId="0" xfId="0" applyFont="1"/>
    <xf numFmtId="0" fontId="0" fillId="0" borderId="4" xfId="0" applyBorder="1"/>
    <xf numFmtId="0" fontId="0" fillId="0" borderId="0" xfId="0" applyBorder="1"/>
    <xf numFmtId="0" fontId="0" fillId="0" borderId="1" xfId="0" applyBorder="1" applyAlignment="1"/>
    <xf numFmtId="0" fontId="0" fillId="0" borderId="4" xfId="0" applyBorder="1" applyAlignment="1"/>
    <xf numFmtId="0" fontId="1" fillId="0" borderId="0" xfId="0" applyFont="1" applyBorder="1"/>
    <xf numFmtId="0" fontId="0" fillId="0" borderId="0" xfId="0"/>
    <xf numFmtId="0" fontId="1" fillId="0" borderId="0" xfId="0" applyFont="1"/>
    <xf numFmtId="0" fontId="0" fillId="0" borderId="0" xfId="0" applyBorder="1"/>
    <xf numFmtId="0" fontId="0" fillId="0" borderId="0" xfId="0" applyFill="1" applyBorder="1"/>
    <xf numFmtId="0" fontId="0" fillId="0" borderId="0" xfId="0" applyFont="1" applyFill="1" applyBorder="1"/>
    <xf numFmtId="2" fontId="0" fillId="0" borderId="0" xfId="0" applyNumberFormat="1"/>
    <xf numFmtId="0" fontId="4" fillId="0" borderId="0" xfId="0" applyFont="1" applyFill="1" applyBorder="1"/>
    <xf numFmtId="0" fontId="10" fillId="0" borderId="15" xfId="0" applyFont="1" applyBorder="1" applyAlignment="1">
      <alignment vertical="center" wrapText="1"/>
    </xf>
    <xf numFmtId="0" fontId="10" fillId="0" borderId="15" xfId="0" applyFont="1" applyBorder="1" applyAlignment="1">
      <alignment horizontal="right" vertical="center" wrapText="1"/>
    </xf>
    <xf numFmtId="0" fontId="6" fillId="0" borderId="0" xfId="0" applyFont="1" applyAlignment="1">
      <alignment horizontal="center" vertical="center" wrapText="1"/>
    </xf>
    <xf numFmtId="0" fontId="6" fillId="0" borderId="15" xfId="0" applyFont="1" applyBorder="1" applyAlignment="1">
      <alignment vertical="center" wrapText="1"/>
    </xf>
    <xf numFmtId="0" fontId="0" fillId="0" borderId="0" xfId="0" applyFont="1"/>
    <xf numFmtId="0" fontId="0" fillId="0" borderId="0" xfId="0" applyAlignment="1">
      <alignment horizontal="center"/>
    </xf>
    <xf numFmtId="0" fontId="10" fillId="0" borderId="0" xfId="0" applyFont="1" applyAlignment="1">
      <alignment vertical="center" wrapText="1"/>
    </xf>
    <xf numFmtId="0" fontId="11" fillId="0" borderId="0" xfId="0" applyFont="1" applyBorder="1" applyAlignment="1">
      <alignment vertical="center" wrapText="1"/>
    </xf>
    <xf numFmtId="0" fontId="0" fillId="0" borderId="0" xfId="0"/>
    <xf numFmtId="0" fontId="0" fillId="0" borderId="0" xfId="0" applyFill="1" applyAlignment="1">
      <alignment horizontal="center"/>
    </xf>
    <xf numFmtId="0" fontId="12" fillId="0" borderId="0" xfId="0" applyFont="1" applyAlignment="1">
      <alignment vertical="center"/>
    </xf>
    <xf numFmtId="0" fontId="0" fillId="0" borderId="0" xfId="0" applyFill="1"/>
    <xf numFmtId="0" fontId="1" fillId="0" borderId="0" xfId="0" applyFont="1" applyAlignment="1">
      <alignment wrapText="1"/>
    </xf>
    <xf numFmtId="0" fontId="0" fillId="0" borderId="0" xfId="0" applyFill="1" applyBorder="1" applyAlignment="1">
      <alignment horizontal="center"/>
    </xf>
    <xf numFmtId="0" fontId="14" fillId="0" borderId="0" xfId="0" applyFont="1"/>
    <xf numFmtId="0" fontId="2" fillId="0" borderId="0" xfId="1"/>
    <xf numFmtId="0" fontId="0" fillId="0" borderId="24" xfId="0" applyBorder="1"/>
    <xf numFmtId="0" fontId="20" fillId="0" borderId="0" xfId="0" applyFont="1"/>
    <xf numFmtId="0" fontId="1" fillId="0" borderId="0" xfId="0" applyFont="1" applyFill="1"/>
    <xf numFmtId="0" fontId="10" fillId="0" borderId="0" xfId="0" applyFont="1" applyAlignment="1">
      <alignment horizontal="right" vertical="center" wrapText="1"/>
    </xf>
    <xf numFmtId="2" fontId="1" fillId="0" borderId="0" xfId="0" applyNumberFormat="1" applyFont="1"/>
    <xf numFmtId="0" fontId="0" fillId="0" borderId="0" xfId="0"/>
    <xf numFmtId="0" fontId="0" fillId="0" borderId="0" xfId="0" applyAlignment="1">
      <alignment horizontal="right"/>
    </xf>
    <xf numFmtId="0" fontId="1" fillId="0" borderId="21" xfId="0" applyFont="1" applyBorder="1"/>
    <xf numFmtId="0" fontId="6" fillId="0" borderId="0" xfId="0" applyFont="1" applyBorder="1" applyAlignment="1">
      <alignment vertical="center" wrapText="1"/>
    </xf>
    <xf numFmtId="0" fontId="1" fillId="0" borderId="0" xfId="0" applyFont="1" applyFill="1" applyBorder="1"/>
    <xf numFmtId="0" fontId="1" fillId="0" borderId="0" xfId="0" applyFont="1" applyAlignment="1"/>
    <xf numFmtId="0" fontId="1" fillId="0" borderId="29" xfId="0" applyFont="1" applyBorder="1"/>
    <xf numFmtId="0" fontId="1" fillId="0" borderId="30" xfId="0" applyFont="1" applyBorder="1"/>
    <xf numFmtId="164" fontId="0" fillId="0" borderId="0" xfId="0" applyNumberFormat="1"/>
    <xf numFmtId="166" fontId="0" fillId="0" borderId="0" xfId="0" applyNumberFormat="1"/>
    <xf numFmtId="0" fontId="0" fillId="0" borderId="33" xfId="0" applyBorder="1" applyAlignment="1">
      <alignment horizontal="left"/>
    </xf>
    <xf numFmtId="0" fontId="0" fillId="0" borderId="34" xfId="0" applyBorder="1" applyAlignment="1">
      <alignment horizontal="left"/>
    </xf>
    <xf numFmtId="0" fontId="14" fillId="0" borderId="28" xfId="0" applyFont="1" applyBorder="1"/>
    <xf numFmtId="164" fontId="1" fillId="0" borderId="16" xfId="0" applyNumberFormat="1" applyFont="1" applyBorder="1" applyAlignment="1">
      <alignment horizontal="center"/>
    </xf>
    <xf numFmtId="164" fontId="1" fillId="0" borderId="32" xfId="0" applyNumberFormat="1" applyFont="1" applyBorder="1" applyAlignment="1">
      <alignment horizontal="center"/>
    </xf>
    <xf numFmtId="164" fontId="0" fillId="0" borderId="16" xfId="0" applyNumberFormat="1" applyBorder="1" applyAlignment="1">
      <alignment horizontal="center"/>
    </xf>
    <xf numFmtId="164" fontId="0" fillId="0" borderId="32"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165" fontId="1" fillId="0" borderId="16" xfId="0" applyNumberFormat="1" applyFont="1" applyBorder="1" applyAlignment="1">
      <alignment horizontal="center"/>
    </xf>
    <xf numFmtId="165" fontId="1" fillId="0" borderId="32" xfId="0" applyNumberFormat="1" applyFont="1" applyBorder="1" applyAlignment="1">
      <alignment horizontal="center"/>
    </xf>
    <xf numFmtId="1" fontId="0" fillId="0" borderId="33" xfId="0" applyNumberFormat="1" applyBorder="1" applyAlignment="1">
      <alignment horizontal="center"/>
    </xf>
    <xf numFmtId="0" fontId="0" fillId="8" borderId="32" xfId="0" applyFill="1" applyBorder="1" applyAlignment="1">
      <alignment horizontal="center"/>
    </xf>
    <xf numFmtId="0" fontId="0" fillId="8" borderId="35" xfId="0" applyFill="1" applyBorder="1" applyAlignment="1">
      <alignment horizontal="center"/>
    </xf>
    <xf numFmtId="0" fontId="15" fillId="0" borderId="17" xfId="0" applyFont="1" applyBorder="1" applyAlignment="1">
      <alignment wrapText="1"/>
    </xf>
    <xf numFmtId="0" fontId="0" fillId="0" borderId="13" xfId="0" applyFill="1" applyBorder="1" applyAlignment="1">
      <alignment horizontal="center"/>
    </xf>
    <xf numFmtId="165" fontId="0" fillId="0" borderId="0" xfId="0" applyNumberFormat="1"/>
    <xf numFmtId="164" fontId="0" fillId="0" borderId="0" xfId="0" applyNumberFormat="1" applyAlignment="1">
      <alignment horizontal="center"/>
    </xf>
    <xf numFmtId="0" fontId="30" fillId="0" borderId="0" xfId="0" applyFont="1"/>
    <xf numFmtId="0" fontId="0" fillId="0" borderId="4" xfId="0" applyFill="1" applyBorder="1" applyAlignment="1">
      <alignment wrapText="1"/>
    </xf>
    <xf numFmtId="0" fontId="0" fillId="0" borderId="45" xfId="0" applyBorder="1"/>
    <xf numFmtId="0" fontId="1" fillId="6" borderId="48" xfId="0" applyFont="1" applyFill="1" applyBorder="1" applyAlignment="1"/>
    <xf numFmtId="1" fontId="0" fillId="0" borderId="0" xfId="0" applyNumberFormat="1"/>
    <xf numFmtId="1" fontId="0" fillId="0" borderId="16" xfId="0" applyNumberFormat="1" applyBorder="1" applyAlignment="1">
      <alignment horizontal="center"/>
    </xf>
    <xf numFmtId="0" fontId="1" fillId="6" borderId="0" xfId="0" applyFont="1" applyFill="1" applyBorder="1" applyAlignment="1"/>
    <xf numFmtId="0" fontId="0" fillId="8" borderId="16" xfId="0" applyFill="1" applyBorder="1" applyAlignment="1">
      <alignment horizontal="center"/>
    </xf>
    <xf numFmtId="0" fontId="0" fillId="8" borderId="34" xfId="0" applyFill="1" applyBorder="1" applyAlignment="1">
      <alignment horizontal="center"/>
    </xf>
    <xf numFmtId="0" fontId="2" fillId="0" borderId="0" xfId="1" applyBorder="1"/>
    <xf numFmtId="0" fontId="13" fillId="0" borderId="0" xfId="0" applyFont="1"/>
    <xf numFmtId="0" fontId="0" fillId="12" borderId="0" xfId="0" applyFill="1" applyBorder="1"/>
    <xf numFmtId="0" fontId="0" fillId="12" borderId="5" xfId="0" applyFill="1" applyBorder="1"/>
    <xf numFmtId="0" fontId="0" fillId="12" borderId="6" xfId="0" applyFill="1" applyBorder="1"/>
    <xf numFmtId="0" fontId="0" fillId="12" borderId="7" xfId="0" applyFill="1" applyBorder="1"/>
    <xf numFmtId="0" fontId="0" fillId="12" borderId="8" xfId="0" applyFill="1" applyBorder="1"/>
    <xf numFmtId="0" fontId="0" fillId="0" borderId="0" xfId="0" applyFill="1" applyBorder="1" applyProtection="1"/>
    <xf numFmtId="0" fontId="0" fillId="0" borderId="0" xfId="0" applyBorder="1" applyAlignment="1"/>
    <xf numFmtId="0" fontId="0" fillId="0" borderId="0" xfId="0" applyBorder="1" applyAlignment="1">
      <alignment vertical="center"/>
    </xf>
    <xf numFmtId="0" fontId="0" fillId="0" borderId="20" xfId="0" applyBorder="1" applyAlignment="1">
      <alignment vertical="center"/>
    </xf>
    <xf numFmtId="0" fontId="14" fillId="0" borderId="20" xfId="0" applyFont="1" applyBorder="1"/>
    <xf numFmtId="0" fontId="34" fillId="0" borderId="19" xfId="0" applyFont="1" applyBorder="1" applyAlignment="1">
      <alignment vertical="center"/>
    </xf>
    <xf numFmtId="0" fontId="1" fillId="0" borderId="20" xfId="0" applyFont="1" applyBorder="1" applyAlignment="1">
      <alignment horizontal="center"/>
    </xf>
    <xf numFmtId="0" fontId="0" fillId="0" borderId="20" xfId="0" applyBorder="1" applyAlignment="1">
      <alignment horizontal="center"/>
    </xf>
    <xf numFmtId="164" fontId="0" fillId="0" borderId="20" xfId="0" applyNumberFormat="1" applyBorder="1" applyAlignment="1">
      <alignment horizontal="center"/>
    </xf>
    <xf numFmtId="164" fontId="0" fillId="0" borderId="20" xfId="0" applyNumberFormat="1" applyBorder="1"/>
    <xf numFmtId="0" fontId="1" fillId="0" borderId="20" xfId="0" applyFont="1" applyBorder="1" applyAlignment="1"/>
    <xf numFmtId="1" fontId="0" fillId="0" borderId="0" xfId="0" applyNumberFormat="1" applyBorder="1"/>
    <xf numFmtId="0" fontId="0" fillId="0" borderId="0" xfId="0"/>
    <xf numFmtId="0" fontId="0" fillId="0" borderId="6" xfId="0" applyBorder="1"/>
    <xf numFmtId="0" fontId="4" fillId="0" borderId="0" xfId="0" applyFont="1" applyBorder="1"/>
    <xf numFmtId="0" fontId="0" fillId="0" borderId="12" xfId="0" applyBorder="1"/>
    <xf numFmtId="0" fontId="0" fillId="0" borderId="0" xfId="0" applyFill="1"/>
    <xf numFmtId="0" fontId="0" fillId="0" borderId="17" xfId="0" applyBorder="1"/>
    <xf numFmtId="0" fontId="0" fillId="0" borderId="16" xfId="0" applyFill="1" applyBorder="1"/>
    <xf numFmtId="0" fontId="0" fillId="0" borderId="12" xfId="0" applyFill="1" applyBorder="1"/>
    <xf numFmtId="0" fontId="15" fillId="0" borderId="17" xfId="0" applyFont="1" applyBorder="1"/>
    <xf numFmtId="0" fontId="1" fillId="0" borderId="19" xfId="0" applyFont="1" applyBorder="1" applyAlignment="1">
      <alignment horizontal="center"/>
    </xf>
    <xf numFmtId="0" fontId="0" fillId="0" borderId="21" xfId="0" applyFill="1" applyBorder="1" applyAlignment="1">
      <alignment horizontal="center"/>
    </xf>
    <xf numFmtId="0" fontId="0" fillId="0" borderId="19" xfId="0" applyBorder="1" applyAlignment="1">
      <alignment horizontal="center"/>
    </xf>
    <xf numFmtId="0" fontId="0" fillId="0" borderId="23" xfId="0" applyBorder="1"/>
    <xf numFmtId="0" fontId="0" fillId="0" borderId="21" xfId="0" applyBorder="1"/>
    <xf numFmtId="0" fontId="13" fillId="0" borderId="26" xfId="0" applyFont="1" applyBorder="1" applyAlignment="1"/>
    <xf numFmtId="0" fontId="13" fillId="0" borderId="27" xfId="0" applyFont="1" applyBorder="1" applyAlignment="1"/>
    <xf numFmtId="0" fontId="1" fillId="0" borderId="7" xfId="0" applyFont="1" applyBorder="1" applyAlignment="1"/>
    <xf numFmtId="0" fontId="0" fillId="0" borderId="11" xfId="0" applyBorder="1" applyAlignment="1"/>
    <xf numFmtId="0" fontId="0" fillId="0" borderId="0" xfId="0" applyFill="1" applyBorder="1" applyAlignment="1"/>
    <xf numFmtId="0" fontId="0" fillId="0" borderId="6" xfId="0" applyFill="1" applyBorder="1"/>
    <xf numFmtId="0" fontId="1" fillId="0" borderId="22" xfId="0" applyFont="1" applyBorder="1"/>
    <xf numFmtId="0" fontId="1" fillId="0" borderId="1" xfId="0" applyFont="1" applyBorder="1"/>
    <xf numFmtId="0" fontId="41" fillId="0" borderId="49" xfId="0" applyFont="1" applyBorder="1" applyAlignment="1">
      <alignment vertical="center"/>
    </xf>
    <xf numFmtId="0" fontId="41" fillId="0" borderId="52" xfId="0" applyFont="1" applyBorder="1" applyAlignment="1">
      <alignment vertical="center" wrapText="1"/>
    </xf>
    <xf numFmtId="0" fontId="42" fillId="0" borderId="20" xfId="0" applyFont="1" applyBorder="1" applyAlignment="1">
      <alignment vertical="center" wrapText="1"/>
    </xf>
    <xf numFmtId="0" fontId="42" fillId="0" borderId="25" xfId="0" applyFont="1" applyBorder="1" applyAlignment="1">
      <alignment vertical="center" wrapText="1"/>
    </xf>
    <xf numFmtId="0" fontId="0" fillId="13" borderId="21" xfId="0" applyFill="1" applyBorder="1" applyAlignment="1">
      <alignment horizontal="center"/>
    </xf>
    <xf numFmtId="0" fontId="0" fillId="13" borderId="32" xfId="0" applyFill="1" applyBorder="1" applyAlignment="1">
      <alignment horizontal="center"/>
    </xf>
    <xf numFmtId="0" fontId="0" fillId="13" borderId="33" xfId="0" applyFill="1" applyBorder="1" applyAlignment="1">
      <alignment horizontal="center"/>
    </xf>
    <xf numFmtId="0" fontId="0" fillId="13" borderId="35" xfId="0" applyFill="1" applyBorder="1" applyAlignment="1">
      <alignment horizontal="center"/>
    </xf>
    <xf numFmtId="0" fontId="0" fillId="0" borderId="18" xfId="0" applyFill="1" applyBorder="1" applyProtection="1"/>
    <xf numFmtId="0" fontId="0" fillId="0" borderId="20" xfId="0" applyFill="1" applyBorder="1" applyProtection="1"/>
    <xf numFmtId="0" fontId="0" fillId="0" borderId="15" xfId="0" applyFill="1" applyBorder="1" applyProtection="1"/>
    <xf numFmtId="0" fontId="0" fillId="0" borderId="25" xfId="0" applyFill="1" applyBorder="1" applyProtection="1"/>
    <xf numFmtId="0" fontId="1" fillId="0" borderId="14" xfId="0" applyFont="1" applyFill="1" applyBorder="1" applyAlignment="1">
      <alignment horizontal="center"/>
    </xf>
    <xf numFmtId="0" fontId="0" fillId="0" borderId="19" xfId="0" applyFill="1" applyBorder="1"/>
    <xf numFmtId="0" fontId="42" fillId="0" borderId="0" xfId="0" applyFont="1" applyFill="1" applyBorder="1" applyAlignment="1">
      <alignment vertical="center" wrapText="1"/>
    </xf>
    <xf numFmtId="0" fontId="42" fillId="0" borderId="19" xfId="0" applyFont="1" applyFill="1" applyBorder="1" applyAlignment="1">
      <alignment vertical="center" wrapText="1"/>
    </xf>
    <xf numFmtId="0" fontId="42" fillId="0" borderId="0" xfId="0" applyFont="1" applyFill="1" applyBorder="1" applyAlignment="1">
      <alignment wrapText="1"/>
    </xf>
    <xf numFmtId="0" fontId="0" fillId="0" borderId="24" xfId="0" applyFill="1" applyBorder="1"/>
    <xf numFmtId="0" fontId="0" fillId="0" borderId="15" xfId="0" applyFill="1" applyBorder="1"/>
    <xf numFmtId="0" fontId="42" fillId="0" borderId="15" xfId="0" applyFont="1" applyFill="1" applyBorder="1" applyAlignment="1">
      <alignment wrapText="1"/>
    </xf>
    <xf numFmtId="0" fontId="0" fillId="0" borderId="0" xfId="0" applyFill="1"/>
    <xf numFmtId="0" fontId="0" fillId="0" borderId="0" xfId="0" applyFill="1" applyBorder="1" applyAlignment="1">
      <alignment horizontal="center"/>
    </xf>
    <xf numFmtId="2" fontId="0" fillId="0" borderId="0" xfId="0" applyNumberFormat="1" applyFill="1"/>
    <xf numFmtId="0" fontId="0" fillId="0" borderId="0" xfId="0"/>
    <xf numFmtId="0" fontId="0" fillId="0" borderId="0" xfId="0" applyBorder="1"/>
    <xf numFmtId="0" fontId="0" fillId="0" borderId="0" xfId="0" applyFill="1" applyBorder="1"/>
    <xf numFmtId="0" fontId="1" fillId="0" borderId="0" xfId="0" applyFont="1" applyBorder="1"/>
    <xf numFmtId="0" fontId="0" fillId="0" borderId="16" xfId="0" applyFill="1" applyBorder="1" applyAlignment="1">
      <alignment horizontal="center"/>
    </xf>
    <xf numFmtId="0" fontId="0" fillId="0" borderId="14" xfId="0" applyBorder="1"/>
    <xf numFmtId="0" fontId="0" fillId="0" borderId="18" xfId="0" applyBorder="1"/>
    <xf numFmtId="0" fontId="1" fillId="0" borderId="19" xfId="0" applyFont="1" applyBorder="1"/>
    <xf numFmtId="0" fontId="0" fillId="0" borderId="20" xfId="0" applyBorder="1"/>
    <xf numFmtId="0" fontId="0" fillId="0" borderId="19" xfId="0" applyBorder="1"/>
    <xf numFmtId="0" fontId="0" fillId="0" borderId="15" xfId="0" applyBorder="1"/>
    <xf numFmtId="0" fontId="0" fillId="0" borderId="25" xfId="0" applyBorder="1"/>
    <xf numFmtId="0" fontId="1" fillId="0" borderId="16" xfId="0" applyFont="1" applyBorder="1"/>
    <xf numFmtId="0" fontId="1" fillId="0" borderId="20" xfId="0" applyFont="1" applyBorder="1"/>
    <xf numFmtId="0" fontId="22" fillId="0" borderId="0" xfId="0" applyFont="1" applyBorder="1"/>
    <xf numFmtId="2" fontId="0" fillId="0" borderId="16" xfId="0" applyNumberFormat="1" applyBorder="1" applyAlignment="1">
      <alignment horizontal="center"/>
    </xf>
    <xf numFmtId="0" fontId="1" fillId="0" borderId="16" xfId="0" applyFont="1" applyFill="1" applyBorder="1" applyAlignment="1">
      <alignment horizontal="center"/>
    </xf>
    <xf numFmtId="0" fontId="1" fillId="0" borderId="0" xfId="0" applyFont="1" applyBorder="1" applyAlignment="1"/>
    <xf numFmtId="1" fontId="0" fillId="0" borderId="34" xfId="0" applyNumberFormat="1" applyBorder="1" applyAlignment="1">
      <alignment horizontal="center"/>
    </xf>
    <xf numFmtId="2" fontId="0" fillId="0" borderId="16" xfId="0" applyNumberFormat="1" applyFill="1" applyBorder="1" applyAlignment="1">
      <alignment horizontal="center"/>
    </xf>
    <xf numFmtId="1" fontId="0" fillId="0" borderId="16" xfId="0" applyNumberFormat="1" applyFill="1" applyBorder="1" applyAlignment="1">
      <alignment horizontal="center"/>
    </xf>
    <xf numFmtId="0" fontId="1" fillId="0" borderId="16" xfId="0" applyFont="1" applyFill="1" applyBorder="1" applyAlignment="1">
      <alignment horizontal="center" wrapText="1"/>
    </xf>
    <xf numFmtId="0" fontId="1" fillId="0" borderId="33" xfId="0" applyFont="1" applyBorder="1" applyAlignment="1">
      <alignment horizontal="center"/>
    </xf>
    <xf numFmtId="0" fontId="29" fillId="0" borderId="0" xfId="0" applyFont="1" applyBorder="1" applyAlignment="1">
      <alignment vertical="center" wrapText="1"/>
    </xf>
    <xf numFmtId="164" fontId="0" fillId="0" borderId="0" xfId="0" applyNumberFormat="1" applyBorder="1"/>
    <xf numFmtId="164" fontId="0" fillId="0" borderId="0" xfId="0" applyNumberFormat="1" applyBorder="1" applyAlignment="1">
      <alignment horizontal="center"/>
    </xf>
    <xf numFmtId="0" fontId="13" fillId="0" borderId="36" xfId="0" applyFont="1" applyBorder="1" applyAlignment="1"/>
    <xf numFmtId="0" fontId="13" fillId="0" borderId="14" xfId="0" applyFont="1" applyBorder="1" applyAlignment="1"/>
    <xf numFmtId="0" fontId="14" fillId="0" borderId="19" xfId="0" applyFont="1" applyBorder="1"/>
    <xf numFmtId="0" fontId="21" fillId="0" borderId="0" xfId="0" applyFont="1" applyBorder="1"/>
    <xf numFmtId="0" fontId="20" fillId="0" borderId="19" xfId="0" applyFont="1" applyBorder="1"/>
    <xf numFmtId="0" fontId="1" fillId="0" borderId="0" xfId="0" applyFont="1" applyBorder="1" applyAlignment="1">
      <alignment wrapText="1"/>
    </xf>
    <xf numFmtId="0" fontId="1" fillId="0" borderId="20" xfId="0" applyFont="1" applyBorder="1" applyAlignment="1">
      <alignment wrapText="1"/>
    </xf>
    <xf numFmtId="0" fontId="20" fillId="0" borderId="0" xfId="0" applyFont="1" applyBorder="1"/>
    <xf numFmtId="0" fontId="14" fillId="0" borderId="0" xfId="0" applyFont="1" applyBorder="1"/>
    <xf numFmtId="0" fontId="0" fillId="0" borderId="32" xfId="0" applyFill="1" applyBorder="1" applyAlignment="1">
      <alignment horizontal="center"/>
    </xf>
    <xf numFmtId="1" fontId="0" fillId="0" borderId="33" xfId="0" applyNumberFormat="1" applyBorder="1" applyAlignment="1">
      <alignment horizontal="center"/>
    </xf>
    <xf numFmtId="0" fontId="2" fillId="0" borderId="14" xfId="1" applyBorder="1"/>
    <xf numFmtId="0" fontId="5" fillId="0" borderId="0" xfId="0" applyFont="1" applyFill="1" applyBorder="1" applyAlignment="1">
      <alignment horizontal="left" vertical="center"/>
    </xf>
    <xf numFmtId="0" fontId="2" fillId="0" borderId="0" xfId="1" applyBorder="1" applyAlignment="1">
      <alignment vertical="center"/>
    </xf>
    <xf numFmtId="0" fontId="0" fillId="0" borderId="31" xfId="0" applyBorder="1" applyAlignment="1">
      <alignment horizontal="center" vertical="center"/>
    </xf>
    <xf numFmtId="0" fontId="40" fillId="0" borderId="19" xfId="0" applyFont="1" applyBorder="1" applyAlignment="1">
      <alignment vertical="center"/>
    </xf>
    <xf numFmtId="0" fontId="0" fillId="12" borderId="4" xfId="0" applyFill="1" applyBorder="1" applyAlignment="1">
      <alignment vertical="top"/>
    </xf>
    <xf numFmtId="0" fontId="33" fillId="0" borderId="19" xfId="0" applyFont="1" applyBorder="1" applyAlignment="1">
      <alignment vertical="top" wrapText="1"/>
    </xf>
    <xf numFmtId="0" fontId="33" fillId="0" borderId="0" xfId="0" applyFont="1" applyBorder="1" applyAlignment="1">
      <alignment vertical="top" wrapText="1"/>
    </xf>
    <xf numFmtId="0" fontId="1" fillId="9" borderId="7" xfId="0" applyFont="1" applyFill="1" applyBorder="1" applyAlignment="1"/>
    <xf numFmtId="0" fontId="1" fillId="9" borderId="8" xfId="0" applyFont="1" applyFill="1" applyBorder="1" applyAlignment="1"/>
    <xf numFmtId="0" fontId="15" fillId="14" borderId="0" xfId="0" applyFont="1" applyFill="1" applyBorder="1"/>
    <xf numFmtId="0" fontId="0" fillId="14" borderId="0" xfId="0" applyFill="1" applyBorder="1"/>
    <xf numFmtId="0" fontId="1" fillId="0" borderId="0" xfId="0" applyFont="1" applyFill="1" applyBorder="1" applyAlignment="1"/>
    <xf numFmtId="0" fontId="1" fillId="0" borderId="23" xfId="0" applyFont="1" applyBorder="1" applyAlignment="1">
      <alignment horizontal="center" vertical="center" wrapText="1"/>
    </xf>
    <xf numFmtId="0" fontId="1" fillId="13" borderId="23" xfId="0" applyFont="1" applyFill="1" applyBorder="1" applyAlignment="1">
      <alignment horizontal="center" vertical="center" wrapText="1"/>
    </xf>
    <xf numFmtId="0" fontId="1" fillId="13" borderId="57" xfId="0" applyFont="1" applyFill="1" applyBorder="1" applyAlignment="1">
      <alignment horizontal="center" vertical="center" wrapText="1"/>
    </xf>
    <xf numFmtId="0" fontId="1" fillId="0" borderId="57" xfId="0" applyFont="1" applyBorder="1" applyAlignment="1">
      <alignment horizontal="center" vertical="center" wrapText="1"/>
    </xf>
    <xf numFmtId="0" fontId="0" fillId="0" borderId="35" xfId="0" applyFill="1" applyBorder="1" applyAlignment="1">
      <alignment horizontal="center"/>
    </xf>
    <xf numFmtId="0" fontId="0" fillId="0" borderId="14" xfId="0" applyFill="1" applyBorder="1"/>
    <xf numFmtId="0" fontId="2" fillId="0" borderId="0" xfId="1" quotePrefix="1" applyBorder="1" applyAlignment="1"/>
    <xf numFmtId="2" fontId="0" fillId="0" borderId="0" xfId="0" applyNumberFormat="1" applyFill="1" applyBorder="1"/>
    <xf numFmtId="1" fontId="0" fillId="0" borderId="0" xfId="0" applyNumberFormat="1" applyFill="1" applyBorder="1" applyProtection="1"/>
    <xf numFmtId="2" fontId="0" fillId="0" borderId="0" xfId="0" applyNumberFormat="1" applyFill="1" applyBorder="1" applyProtection="1"/>
    <xf numFmtId="0" fontId="48" fillId="0" borderId="0" xfId="0" applyFont="1" applyFill="1" applyBorder="1" applyAlignment="1"/>
    <xf numFmtId="0" fontId="0" fillId="0" borderId="0" xfId="0" applyFill="1" applyBorder="1" applyAlignment="1">
      <alignment vertical="center"/>
    </xf>
    <xf numFmtId="0" fontId="48" fillId="0" borderId="0" xfId="0" applyFont="1" applyFill="1" applyBorder="1" applyAlignment="1">
      <alignment vertical="top" wrapText="1"/>
    </xf>
    <xf numFmtId="0" fontId="50" fillId="0" borderId="0" xfId="0" applyFont="1" applyFill="1" applyBorder="1" applyProtection="1"/>
    <xf numFmtId="0" fontId="15" fillId="0" borderId="16" xfId="0" applyFont="1" applyBorder="1" applyAlignment="1">
      <alignment horizontal="center"/>
    </xf>
    <xf numFmtId="0" fontId="52" fillId="0" borderId="0" xfId="0" applyFont="1" applyBorder="1" applyAlignment="1">
      <alignment horizontal="center"/>
    </xf>
    <xf numFmtId="0" fontId="52" fillId="0" borderId="0" xfId="0" applyFont="1" applyFill="1" applyBorder="1" applyAlignment="1">
      <alignment horizontal="center"/>
    </xf>
    <xf numFmtId="0" fontId="52" fillId="0" borderId="4" xfId="0" applyFont="1" applyBorder="1" applyAlignment="1">
      <alignment horizontal="center"/>
    </xf>
    <xf numFmtId="0" fontId="0" fillId="15" borderId="0" xfId="0" applyFill="1" applyBorder="1"/>
    <xf numFmtId="0" fontId="0" fillId="0" borderId="19" xfId="0" applyFill="1" applyBorder="1" applyProtection="1"/>
    <xf numFmtId="0" fontId="0" fillId="0" borderId="38" xfId="0" applyBorder="1" applyAlignment="1"/>
    <xf numFmtId="0" fontId="51" fillId="0" borderId="0" xfId="0" applyFont="1" applyFill="1" applyBorder="1"/>
    <xf numFmtId="0" fontId="50" fillId="0" borderId="2" xfId="0" applyFont="1" applyFill="1" applyBorder="1" applyAlignment="1"/>
    <xf numFmtId="0" fontId="5" fillId="0" borderId="0" xfId="0" applyFont="1" applyBorder="1" applyAlignment="1">
      <alignment horizontal="left" vertical="center"/>
    </xf>
    <xf numFmtId="0" fontId="5" fillId="0" borderId="0" xfId="0" applyFont="1" applyBorder="1" applyAlignment="1">
      <alignment horizontal="left" vertical="center" wrapText="1"/>
    </xf>
    <xf numFmtId="0" fontId="1" fillId="0" borderId="16" xfId="0" applyFont="1" applyFill="1" applyBorder="1" applyAlignment="1">
      <alignment horizontal="center" wrapText="1"/>
    </xf>
    <xf numFmtId="0" fontId="1" fillId="0" borderId="16" xfId="0" applyFont="1" applyFill="1" applyBorder="1" applyAlignment="1">
      <alignment horizontal="center" vertical="center"/>
    </xf>
    <xf numFmtId="0" fontId="0" fillId="0" borderId="0" xfId="0" applyBorder="1" applyAlignment="1">
      <alignment horizontal="center"/>
    </xf>
    <xf numFmtId="0" fontId="48" fillId="0" borderId="0" xfId="0" applyFont="1" applyFill="1" applyBorder="1" applyAlignment="1">
      <alignment horizontal="center" vertical="center" wrapText="1"/>
    </xf>
    <xf numFmtId="0" fontId="48" fillId="0" borderId="0" xfId="0" applyFont="1" applyFill="1" applyBorder="1"/>
    <xf numFmtId="0" fontId="1" fillId="0" borderId="3" xfId="0" applyFont="1" applyBorder="1" applyAlignment="1">
      <alignment horizontal="center"/>
    </xf>
    <xf numFmtId="0" fontId="1" fillId="0" borderId="12" xfId="0" applyFont="1" applyBorder="1" applyAlignment="1">
      <alignment horizontal="center"/>
    </xf>
    <xf numFmtId="0" fontId="15" fillId="0" borderId="17" xfId="0" applyFont="1" applyFill="1" applyBorder="1" applyAlignment="1">
      <alignment horizontal="center"/>
    </xf>
    <xf numFmtId="0" fontId="1" fillId="0" borderId="0" xfId="0" applyFont="1" applyBorder="1" applyAlignment="1">
      <alignment horizontal="center"/>
    </xf>
    <xf numFmtId="0" fontId="0" fillId="0" borderId="16" xfId="0" applyBorder="1" applyAlignment="1">
      <alignment horizontal="center"/>
    </xf>
    <xf numFmtId="0" fontId="1" fillId="0" borderId="16" xfId="0" applyFont="1" applyBorder="1" applyAlignment="1">
      <alignment horizontal="center"/>
    </xf>
    <xf numFmtId="0" fontId="14" fillId="0" borderId="0" xfId="0" applyFont="1" applyBorder="1" applyAlignment="1">
      <alignment horizontal="left"/>
    </xf>
    <xf numFmtId="0" fontId="0" fillId="0" borderId="21"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0" borderId="30" xfId="0" applyBorder="1" applyAlignment="1">
      <alignment horizontal="center" vertical="center"/>
    </xf>
    <xf numFmtId="0" fontId="0" fillId="0" borderId="0" xfId="0" applyBorder="1" applyAlignment="1">
      <alignment horizontal="center"/>
    </xf>
    <xf numFmtId="0" fontId="1" fillId="0" borderId="16" xfId="0" applyFont="1" applyBorder="1" applyAlignment="1">
      <alignment horizontal="center" vertical="center"/>
    </xf>
    <xf numFmtId="0" fontId="42" fillId="0" borderId="53" xfId="0" applyFont="1" applyBorder="1" applyAlignment="1">
      <alignment vertical="center"/>
    </xf>
    <xf numFmtId="0" fontId="12" fillId="0" borderId="0" xfId="0" applyFont="1" applyBorder="1" applyAlignment="1">
      <alignment vertical="center" wrapText="1"/>
    </xf>
    <xf numFmtId="0" fontId="0" fillId="12" borderId="4" xfId="0" applyFill="1" applyBorder="1"/>
    <xf numFmtId="0" fontId="15" fillId="6" borderId="4" xfId="0" applyFont="1" applyFill="1" applyBorder="1"/>
    <xf numFmtId="0" fontId="0" fillId="6" borderId="0" xfId="0" applyFill="1" applyBorder="1"/>
    <xf numFmtId="0" fontId="0" fillId="6" borderId="5" xfId="0" applyFill="1" applyBorder="1"/>
    <xf numFmtId="0" fontId="0" fillId="6" borderId="4" xfId="0" applyFill="1" applyBorder="1"/>
    <xf numFmtId="0" fontId="0" fillId="6" borderId="6" xfId="0" applyFill="1" applyBorder="1"/>
    <xf numFmtId="0" fontId="0" fillId="6" borderId="7" xfId="0" applyFill="1" applyBorder="1"/>
    <xf numFmtId="0" fontId="0" fillId="6" borderId="8" xfId="0" applyFill="1" applyBorder="1"/>
    <xf numFmtId="0" fontId="2" fillId="0" borderId="0" xfId="1" applyBorder="1" applyAlignment="1">
      <alignment horizontal="left"/>
    </xf>
    <xf numFmtId="0" fontId="5" fillId="6" borderId="0" xfId="0" applyFont="1" applyFill="1" applyBorder="1" applyAlignment="1">
      <alignment wrapText="1"/>
    </xf>
    <xf numFmtId="0" fontId="4" fillId="0" borderId="16" xfId="0" applyFont="1" applyFill="1" applyBorder="1" applyAlignment="1">
      <alignment horizontal="center"/>
    </xf>
    <xf numFmtId="2" fontId="1" fillId="6" borderId="0" xfId="0" applyNumberFormat="1" applyFont="1" applyFill="1" applyBorder="1" applyAlignment="1"/>
    <xf numFmtId="0" fontId="0" fillId="0" borderId="9" xfId="0" applyFont="1" applyBorder="1" applyAlignment="1">
      <alignment horizontal="center"/>
    </xf>
    <xf numFmtId="0" fontId="0" fillId="0" borderId="0" xfId="0" applyFont="1" applyFill="1" applyBorder="1" applyAlignment="1">
      <alignment vertical="top"/>
    </xf>
    <xf numFmtId="0" fontId="0" fillId="0" borderId="0" xfId="0" applyFont="1" applyBorder="1"/>
    <xf numFmtId="0" fontId="0" fillId="0" borderId="0" xfId="0" applyFont="1" applyFill="1" applyBorder="1" applyProtection="1"/>
    <xf numFmtId="0" fontId="0" fillId="0" borderId="0" xfId="0" applyFill="1" applyBorder="1" applyAlignment="1" applyProtection="1">
      <alignment horizontal="center"/>
    </xf>
    <xf numFmtId="0" fontId="0" fillId="17" borderId="0" xfId="0" applyFill="1" applyBorder="1"/>
    <xf numFmtId="0" fontId="15" fillId="4" borderId="17" xfId="0" applyFont="1" applyFill="1" applyBorder="1" applyAlignment="1">
      <alignment horizontal="center"/>
    </xf>
    <xf numFmtId="0" fontId="0" fillId="0" borderId="17" xfId="0" applyBorder="1" applyAlignment="1">
      <alignment horizontal="center"/>
    </xf>
    <xf numFmtId="0" fontId="15" fillId="0" borderId="17" xfId="0" applyFont="1" applyBorder="1" applyAlignment="1">
      <alignment horizontal="center"/>
    </xf>
    <xf numFmtId="0" fontId="1" fillId="0" borderId="19" xfId="0" applyFont="1" applyFill="1" applyBorder="1" applyAlignment="1">
      <alignment horizontal="center"/>
    </xf>
    <xf numFmtId="0" fontId="0" fillId="0" borderId="19" xfId="0" applyFill="1" applyBorder="1" applyAlignment="1">
      <alignment horizontal="center"/>
    </xf>
    <xf numFmtId="0" fontId="0" fillId="0" borderId="51" xfId="0" applyFill="1" applyBorder="1" applyAlignment="1">
      <alignment horizontal="center"/>
    </xf>
    <xf numFmtId="0" fontId="1" fillId="0" borderId="0" xfId="0" applyFont="1" applyFill="1" applyBorder="1" applyAlignment="1">
      <alignment horizontal="center"/>
    </xf>
    <xf numFmtId="0" fontId="1" fillId="0" borderId="5" xfId="0" applyFont="1" applyFill="1" applyBorder="1" applyAlignment="1">
      <alignment horizontal="center"/>
    </xf>
    <xf numFmtId="1" fontId="0" fillId="0" borderId="0" xfId="0" applyNumberFormat="1" applyBorder="1" applyAlignment="1">
      <alignment horizontal="center"/>
    </xf>
    <xf numFmtId="0" fontId="37" fillId="0" borderId="0" xfId="0" applyFont="1" applyBorder="1" applyAlignment="1">
      <alignment horizontal="center" wrapText="1"/>
    </xf>
    <xf numFmtId="0" fontId="46" fillId="0" borderId="19" xfId="0" applyFont="1" applyBorder="1"/>
    <xf numFmtId="0" fontId="46" fillId="0" borderId="0" xfId="0" applyFont="1" applyBorder="1"/>
    <xf numFmtId="0" fontId="33" fillId="0" borderId="37" xfId="0" applyFont="1" applyBorder="1" applyAlignment="1">
      <alignment horizontal="left" vertical="center"/>
    </xf>
    <xf numFmtId="0" fontId="33" fillId="0" borderId="41" xfId="0" applyFont="1" applyBorder="1" applyAlignment="1">
      <alignment horizontal="center"/>
    </xf>
    <xf numFmtId="0" fontId="33" fillId="0" borderId="30" xfId="0" applyFont="1" applyBorder="1" applyAlignment="1">
      <alignment horizontal="center"/>
    </xf>
    <xf numFmtId="0" fontId="33" fillId="9" borderId="30" xfId="0" applyFont="1" applyFill="1" applyBorder="1" applyAlignment="1">
      <alignment horizontal="center"/>
    </xf>
    <xf numFmtId="0" fontId="33" fillId="0" borderId="39" xfId="0" applyFont="1" applyBorder="1" applyAlignment="1">
      <alignment horizontal="center"/>
    </xf>
    <xf numFmtId="165" fontId="46" fillId="0" borderId="61" xfId="0" applyNumberFormat="1" applyFont="1" applyBorder="1" applyAlignment="1">
      <alignment horizontal="center"/>
    </xf>
    <xf numFmtId="0" fontId="33" fillId="0" borderId="21" xfId="0" applyFont="1" applyBorder="1" applyAlignment="1">
      <alignment horizontal="center"/>
    </xf>
    <xf numFmtId="0" fontId="46" fillId="0" borderId="16" xfId="0" applyFont="1" applyBorder="1" applyAlignment="1">
      <alignment horizontal="center"/>
    </xf>
    <xf numFmtId="0" fontId="46" fillId="0" borderId="16" xfId="0" applyFont="1" applyFill="1" applyBorder="1" applyAlignment="1">
      <alignment horizontal="center"/>
    </xf>
    <xf numFmtId="164" fontId="46" fillId="0" borderId="16" xfId="0" applyNumberFormat="1" applyFont="1" applyBorder="1" applyAlignment="1">
      <alignment horizontal="center"/>
    </xf>
    <xf numFmtId="165" fontId="46" fillId="0" borderId="9" xfId="0" applyNumberFormat="1" applyFont="1" applyBorder="1" applyAlignment="1">
      <alignment horizontal="center"/>
    </xf>
    <xf numFmtId="0" fontId="46" fillId="0" borderId="32" xfId="0" applyFont="1" applyBorder="1" applyAlignment="1">
      <alignment horizontal="center"/>
    </xf>
    <xf numFmtId="2" fontId="46" fillId="0" borderId="16" xfId="0" applyNumberFormat="1" applyFont="1" applyBorder="1" applyAlignment="1">
      <alignment horizontal="center"/>
    </xf>
    <xf numFmtId="0" fontId="33" fillId="0" borderId="33" xfId="0" applyFont="1" applyBorder="1" applyAlignment="1">
      <alignment horizontal="center"/>
    </xf>
    <xf numFmtId="0" fontId="46" fillId="0" borderId="34" xfId="0" applyFont="1" applyBorder="1" applyAlignment="1">
      <alignment horizontal="center"/>
    </xf>
    <xf numFmtId="0" fontId="46" fillId="0" borderId="35" xfId="0" applyFont="1" applyBorder="1" applyAlignment="1">
      <alignment horizontal="center"/>
    </xf>
    <xf numFmtId="164" fontId="46" fillId="0" borderId="34" xfId="0" applyNumberFormat="1" applyFont="1" applyBorder="1" applyAlignment="1">
      <alignment horizontal="center"/>
    </xf>
    <xf numFmtId="0" fontId="46" fillId="0" borderId="9" xfId="0" applyFont="1" applyBorder="1" applyAlignment="1">
      <alignment horizontal="center"/>
    </xf>
    <xf numFmtId="164" fontId="46" fillId="0" borderId="21" xfId="0" applyNumberFormat="1" applyFont="1" applyBorder="1" applyAlignment="1">
      <alignment horizontal="center"/>
    </xf>
    <xf numFmtId="2" fontId="46" fillId="0" borderId="34" xfId="0" applyNumberFormat="1" applyFont="1" applyBorder="1" applyAlignment="1">
      <alignment horizontal="center"/>
    </xf>
    <xf numFmtId="0" fontId="0" fillId="0" borderId="0" xfId="0" applyBorder="1" applyAlignment="1">
      <alignment horizontal="left"/>
    </xf>
    <xf numFmtId="0" fontId="20" fillId="0" borderId="0" xfId="0" applyFont="1" applyBorder="1" applyAlignment="1"/>
    <xf numFmtId="0" fontId="14" fillId="0" borderId="0" xfId="0" applyFont="1" applyBorder="1" applyAlignment="1"/>
    <xf numFmtId="0" fontId="0" fillId="0" borderId="0" xfId="0" applyFill="1" applyBorder="1" applyAlignment="1">
      <alignment horizontal="center"/>
    </xf>
    <xf numFmtId="0" fontId="0" fillId="8" borderId="16" xfId="0" applyFill="1" applyBorder="1" applyAlignment="1">
      <alignment horizontal="center" vertical="center"/>
    </xf>
    <xf numFmtId="0" fontId="33" fillId="0" borderId="14" xfId="0" applyFont="1" applyBorder="1" applyAlignment="1">
      <alignment horizontal="left"/>
    </xf>
    <xf numFmtId="0" fontId="1" fillId="0" borderId="0" xfId="0" applyFont="1" applyFill="1" applyBorder="1" applyAlignment="1">
      <alignment wrapText="1"/>
    </xf>
    <xf numFmtId="22" fontId="0" fillId="0" borderId="0" xfId="0" applyNumberFormat="1" applyFill="1" applyBorder="1" applyAlignment="1"/>
    <xf numFmtId="0" fontId="22" fillId="0" borderId="19" xfId="0" applyFont="1" applyBorder="1"/>
    <xf numFmtId="0" fontId="1" fillId="0" borderId="19" xfId="0" applyFont="1" applyBorder="1" applyAlignment="1"/>
    <xf numFmtId="0" fontId="1" fillId="0" borderId="24" xfId="0" applyFont="1" applyBorder="1" applyAlignment="1"/>
    <xf numFmtId="0" fontId="1" fillId="0" borderId="15" xfId="0" applyFont="1" applyBorder="1" applyAlignment="1"/>
    <xf numFmtId="0" fontId="16" fillId="0" borderId="0" xfId="0" applyFont="1" applyBorder="1" applyAlignment="1">
      <alignment vertical="center"/>
    </xf>
    <xf numFmtId="0" fontId="39" fillId="0" borderId="0" xfId="0" applyFont="1" applyBorder="1" applyAlignment="1">
      <alignment horizontal="center" vertical="center"/>
    </xf>
    <xf numFmtId="0" fontId="39" fillId="0" borderId="15" xfId="0" applyFont="1" applyBorder="1" applyAlignment="1">
      <alignment horizontal="left"/>
    </xf>
    <xf numFmtId="0" fontId="0" fillId="0" borderId="36" xfId="0" applyFill="1" applyBorder="1"/>
    <xf numFmtId="0" fontId="0" fillId="0" borderId="14" xfId="0" applyBorder="1" applyAlignment="1">
      <alignment horizontal="center"/>
    </xf>
    <xf numFmtId="0" fontId="0" fillId="0" borderId="0" xfId="0" applyFill="1" applyAlignment="1">
      <alignment vertical="center"/>
    </xf>
    <xf numFmtId="0" fontId="14" fillId="0" borderId="0" xfId="0" applyFont="1" applyFill="1"/>
    <xf numFmtId="0" fontId="33" fillId="0" borderId="21"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70" xfId="0" applyFont="1" applyBorder="1" applyAlignment="1">
      <alignment horizontal="center" vertical="center"/>
    </xf>
    <xf numFmtId="0" fontId="33" fillId="0" borderId="59" xfId="0" applyFont="1" applyBorder="1" applyAlignment="1">
      <alignment horizontal="center" vertical="center"/>
    </xf>
    <xf numFmtId="0" fontId="1" fillId="0" borderId="16" xfId="0" applyFont="1" applyFill="1" applyBorder="1" applyAlignment="1">
      <alignment horizontal="center" vertical="center" wrapText="1"/>
    </xf>
    <xf numFmtId="0" fontId="1" fillId="0" borderId="39" xfId="0" applyFont="1" applyBorder="1"/>
    <xf numFmtId="0" fontId="1" fillId="0" borderId="21" xfId="0" applyFont="1" applyFill="1" applyBorder="1" applyAlignment="1">
      <alignment horizontal="center"/>
    </xf>
    <xf numFmtId="1" fontId="0" fillId="0" borderId="0" xfId="0" applyNumberFormat="1" applyFill="1"/>
    <xf numFmtId="0" fontId="33" fillId="0" borderId="14" xfId="0" applyFont="1" applyBorder="1"/>
    <xf numFmtId="0" fontId="1" fillId="0" borderId="14" xfId="0" applyFont="1" applyBorder="1"/>
    <xf numFmtId="2" fontId="0" fillId="0" borderId="0" xfId="0" applyNumberFormat="1" applyBorder="1"/>
    <xf numFmtId="164" fontId="0" fillId="0" borderId="0" xfId="0" applyNumberFormat="1" applyBorder="1" applyAlignment="1"/>
    <xf numFmtId="164" fontId="0" fillId="0" borderId="0" xfId="0" applyNumberFormat="1" applyBorder="1" applyAlignment="1">
      <alignment horizontal="center"/>
    </xf>
    <xf numFmtId="0" fontId="45" fillId="0" borderId="36" xfId="0" applyFont="1" applyBorder="1"/>
    <xf numFmtId="0" fontId="0" fillId="0" borderId="18" xfId="0" applyBorder="1" applyAlignment="1">
      <alignment horizontal="center"/>
    </xf>
    <xf numFmtId="0" fontId="6" fillId="0" borderId="0" xfId="0" applyFont="1" applyBorder="1" applyAlignment="1">
      <alignment horizontal="center" vertical="center" wrapText="1"/>
    </xf>
    <xf numFmtId="0" fontId="6" fillId="0" borderId="20" xfId="0" applyFont="1" applyBorder="1" applyAlignment="1">
      <alignment horizontal="center" vertical="center" wrapText="1"/>
    </xf>
    <xf numFmtId="0" fontId="0" fillId="0" borderId="15" xfId="0" applyBorder="1" applyAlignment="1">
      <alignment horizontal="center"/>
    </xf>
    <xf numFmtId="0" fontId="0" fillId="0" borderId="25" xfId="0" applyBorder="1" applyAlignment="1">
      <alignment horizontal="center"/>
    </xf>
    <xf numFmtId="0" fontId="6" fillId="0" borderId="16" xfId="0" applyFont="1" applyBorder="1" applyAlignment="1">
      <alignment horizontal="center" vertical="center" wrapText="1"/>
    </xf>
    <xf numFmtId="0" fontId="15" fillId="0" borderId="16" xfId="0" applyFont="1" applyBorder="1"/>
    <xf numFmtId="0" fontId="6" fillId="0" borderId="32" xfId="0" applyFont="1" applyBorder="1" applyAlignment="1">
      <alignment horizontal="center" vertical="center" wrapText="1"/>
    </xf>
    <xf numFmtId="0" fontId="46" fillId="15" borderId="16" xfId="0" applyFont="1" applyFill="1" applyBorder="1" applyAlignment="1">
      <alignment horizontal="center"/>
    </xf>
    <xf numFmtId="0" fontId="46" fillId="15" borderId="11" xfId="0" applyFont="1" applyFill="1" applyBorder="1" applyAlignment="1">
      <alignment horizontal="center"/>
    </xf>
    <xf numFmtId="0" fontId="46" fillId="16" borderId="16" xfId="0" applyFont="1" applyFill="1" applyBorder="1" applyAlignment="1">
      <alignment horizontal="center" vertical="center"/>
    </xf>
    <xf numFmtId="0" fontId="46" fillId="16" borderId="16" xfId="0" applyFont="1" applyFill="1" applyBorder="1" applyAlignment="1">
      <alignment horizontal="center"/>
    </xf>
    <xf numFmtId="0" fontId="46" fillId="0" borderId="0" xfId="0" applyFont="1" applyBorder="1" applyAlignment="1">
      <alignment horizontal="center"/>
    </xf>
    <xf numFmtId="1" fontId="57" fillId="0" borderId="16" xfId="0" applyNumberFormat="1" applyFont="1" applyBorder="1" applyAlignment="1">
      <alignment horizontal="center"/>
    </xf>
    <xf numFmtId="0" fontId="48" fillId="0" borderId="0" xfId="0" applyFont="1" applyBorder="1" applyAlignment="1">
      <alignment horizontal="center"/>
    </xf>
    <xf numFmtId="2" fontId="48" fillId="0" borderId="0" xfId="0" applyNumberFormat="1" applyFont="1" applyBorder="1" applyAlignment="1">
      <alignment horizontal="center"/>
    </xf>
    <xf numFmtId="0" fontId="0" fillId="0" borderId="16" xfId="0" applyFont="1" applyFill="1" applyBorder="1" applyAlignment="1">
      <alignment horizontal="center" vertical="center"/>
    </xf>
    <xf numFmtId="0" fontId="0" fillId="0" borderId="16" xfId="0" applyFont="1" applyFill="1" applyBorder="1" applyAlignment="1">
      <alignment horizontal="center" vertical="center" wrapText="1"/>
    </xf>
    <xf numFmtId="2" fontId="31" fillId="0" borderId="16" xfId="0" applyNumberFormat="1" applyFont="1" applyFill="1" applyBorder="1" applyAlignment="1">
      <alignment horizontal="center" vertical="center"/>
    </xf>
    <xf numFmtId="0" fontId="31" fillId="0" borderId="16" xfId="0" applyFont="1" applyBorder="1" applyAlignment="1">
      <alignment horizontal="center" vertical="center" wrapText="1"/>
    </xf>
    <xf numFmtId="0" fontId="52" fillId="0" borderId="19" xfId="0" applyFont="1" applyBorder="1" applyAlignment="1">
      <alignment horizontal="center"/>
    </xf>
    <xf numFmtId="0" fontId="1" fillId="0" borderId="21" xfId="0" applyFont="1" applyBorder="1" applyAlignment="1">
      <alignment horizontal="center"/>
    </xf>
    <xf numFmtId="0" fontId="0" fillId="0" borderId="21" xfId="0" applyFont="1" applyFill="1" applyBorder="1" applyAlignment="1">
      <alignment horizontal="center" vertical="center"/>
    </xf>
    <xf numFmtId="2" fontId="31" fillId="0" borderId="21" xfId="0" applyNumberFormat="1" applyFont="1" applyBorder="1" applyAlignment="1">
      <alignment horizontal="center" vertical="center"/>
    </xf>
    <xf numFmtId="0" fontId="20" fillId="0" borderId="36" xfId="0" applyFont="1" applyBorder="1"/>
    <xf numFmtId="0" fontId="2" fillId="0" borderId="18" xfId="1" applyBorder="1"/>
    <xf numFmtId="0" fontId="6" fillId="0" borderId="24" xfId="0" applyFont="1" applyBorder="1" applyAlignment="1">
      <alignment vertical="center" wrapText="1"/>
    </xf>
    <xf numFmtId="0" fontId="6" fillId="0" borderId="25" xfId="0" applyFont="1" applyBorder="1" applyAlignment="1">
      <alignment vertical="center" wrapText="1"/>
    </xf>
    <xf numFmtId="0" fontId="10" fillId="0" borderId="20" xfId="0" applyFont="1" applyBorder="1" applyAlignment="1">
      <alignment horizontal="center" vertical="center" wrapText="1"/>
    </xf>
    <xf numFmtId="0" fontId="8" fillId="0" borderId="19" xfId="0" applyFont="1" applyBorder="1" applyAlignment="1">
      <alignment vertical="center" wrapText="1"/>
    </xf>
    <xf numFmtId="0" fontId="9" fillId="0" borderId="0" xfId="0" applyFont="1" applyBorder="1" applyAlignment="1">
      <alignment vertical="center" wrapText="1"/>
    </xf>
    <xf numFmtId="0" fontId="10" fillId="0" borderId="0"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16" xfId="0" applyFont="1" applyBorder="1" applyAlignment="1">
      <alignment vertical="center" wrapText="1"/>
    </xf>
    <xf numFmtId="0" fontId="11" fillId="0" borderId="16" xfId="0" applyFont="1" applyBorder="1" applyAlignment="1">
      <alignment vertical="center" wrapText="1"/>
    </xf>
    <xf numFmtId="0" fontId="10" fillId="0" borderId="16" xfId="0" applyFont="1" applyBorder="1" applyAlignment="1">
      <alignment horizontal="center" vertical="center" wrapText="1"/>
    </xf>
    <xf numFmtId="0" fontId="10" fillId="0" borderId="21" xfId="0" applyFont="1" applyBorder="1" applyAlignment="1">
      <alignment vertical="center" wrapText="1"/>
    </xf>
    <xf numFmtId="0" fontId="10" fillId="0" borderId="32" xfId="0" applyFont="1" applyBorder="1" applyAlignment="1">
      <alignment horizontal="center" vertical="center" wrapText="1"/>
    </xf>
    <xf numFmtId="0" fontId="10" fillId="0" borderId="33" xfId="0" applyFont="1" applyBorder="1" applyAlignment="1">
      <alignment vertical="center" wrapText="1"/>
    </xf>
    <xf numFmtId="0" fontId="11" fillId="0" borderId="34" xfId="0" applyFont="1" applyBorder="1" applyAlignment="1">
      <alignment vertical="center" wrapText="1"/>
    </xf>
    <xf numFmtId="0" fontId="10" fillId="0" borderId="34" xfId="0" applyFont="1" applyBorder="1" applyAlignment="1">
      <alignment horizontal="center" vertical="center" wrapText="1"/>
    </xf>
    <xf numFmtId="0" fontId="10" fillId="0" borderId="35" xfId="0" applyFont="1" applyBorder="1" applyAlignment="1">
      <alignment horizontal="center" vertical="center" wrapText="1"/>
    </xf>
    <xf numFmtId="0" fontId="6" fillId="0" borderId="16" xfId="0" applyFont="1" applyBorder="1" applyAlignment="1">
      <alignment vertical="center" wrapText="1"/>
    </xf>
    <xf numFmtId="0" fontId="6" fillId="0" borderId="21" xfId="0" applyFont="1" applyBorder="1" applyAlignment="1">
      <alignment vertical="center" wrapText="1"/>
    </xf>
    <xf numFmtId="0" fontId="8" fillId="0" borderId="20" xfId="0" applyFont="1" applyBorder="1" applyAlignment="1">
      <alignment vertical="center" wrapText="1"/>
    </xf>
    <xf numFmtId="0" fontId="11" fillId="0" borderId="16" xfId="0" applyFont="1" applyFill="1" applyBorder="1" applyAlignment="1">
      <alignment vertical="center" wrapText="1"/>
    </xf>
    <xf numFmtId="0" fontId="20" fillId="0" borderId="14" xfId="0" applyFont="1" applyBorder="1"/>
    <xf numFmtId="0" fontId="20" fillId="0" borderId="18" xfId="0" applyFont="1" applyBorder="1"/>
    <xf numFmtId="0" fontId="20" fillId="0" borderId="20" xfId="0" applyFont="1" applyBorder="1"/>
    <xf numFmtId="0" fontId="6" fillId="0" borderId="19" xfId="0" applyFont="1" applyBorder="1" applyAlignment="1">
      <alignment vertical="center" wrapText="1"/>
    </xf>
    <xf numFmtId="0" fontId="6" fillId="0" borderId="20" xfId="0" applyFont="1" applyBorder="1" applyAlignment="1">
      <alignment vertical="center" wrapText="1"/>
    </xf>
    <xf numFmtId="0" fontId="10" fillId="0" borderId="21" xfId="0" applyFont="1" applyFill="1" applyBorder="1" applyAlignment="1">
      <alignment vertical="center" wrapText="1"/>
    </xf>
    <xf numFmtId="0" fontId="10" fillId="0" borderId="34" xfId="0" applyFont="1" applyBorder="1" applyAlignment="1">
      <alignment vertical="center" wrapText="1"/>
    </xf>
    <xf numFmtId="0" fontId="6" fillId="0" borderId="12" xfId="0" applyFont="1" applyBorder="1" applyAlignment="1">
      <alignment horizontal="center" vertical="center" wrapText="1"/>
    </xf>
    <xf numFmtId="0" fontId="6" fillId="0" borderId="34" xfId="0" applyFont="1" applyBorder="1" applyAlignment="1">
      <alignment horizontal="center" vertical="center" wrapText="1"/>
    </xf>
    <xf numFmtId="14" fontId="0" fillId="0" borderId="0" xfId="0" applyNumberFormat="1" applyFill="1" applyBorder="1" applyAlignment="1">
      <alignment horizontal="left"/>
    </xf>
    <xf numFmtId="0" fontId="33" fillId="0" borderId="19" xfId="0" applyFont="1" applyBorder="1" applyAlignment="1">
      <alignment horizontal="right" vertical="top" wrapText="1"/>
    </xf>
    <xf numFmtId="0" fontId="33" fillId="0" borderId="27" xfId="0" applyFont="1" applyBorder="1" applyAlignment="1"/>
    <xf numFmtId="0" fontId="33" fillId="0" borderId="27" xfId="0" applyFont="1" applyBorder="1" applyAlignment="1">
      <alignment horizontal="left"/>
    </xf>
    <xf numFmtId="0" fontId="33" fillId="0" borderId="14" xfId="0" applyFont="1" applyFill="1" applyBorder="1" applyAlignment="1">
      <alignment horizontal="center"/>
    </xf>
    <xf numFmtId="0" fontId="40" fillId="0" borderId="19" xfId="0" applyFont="1" applyFill="1" applyBorder="1" applyAlignment="1">
      <alignment horizontal="left" vertical="center"/>
    </xf>
    <xf numFmtId="0" fontId="33" fillId="0" borderId="71" xfId="0" applyFont="1" applyBorder="1" applyAlignment="1">
      <alignment horizontal="center" vertical="center"/>
    </xf>
    <xf numFmtId="0" fontId="33" fillId="0" borderId="0" xfId="0" applyFont="1" applyBorder="1"/>
    <xf numFmtId="0" fontId="33" fillId="0" borderId="37" xfId="0" applyFont="1" applyBorder="1" applyAlignment="1">
      <alignment horizontal="center"/>
    </xf>
    <xf numFmtId="165" fontId="46" fillId="0" borderId="74" xfId="0" applyNumberFormat="1" applyFont="1" applyBorder="1" applyAlignment="1">
      <alignment horizontal="center"/>
    </xf>
    <xf numFmtId="0" fontId="1" fillId="0" borderId="32" xfId="0" applyFont="1" applyFill="1" applyBorder="1" applyAlignment="1">
      <alignment horizontal="center" vertical="center" wrapText="1"/>
    </xf>
    <xf numFmtId="2" fontId="0" fillId="0" borderId="32" xfId="0" applyNumberFormat="1" applyFill="1" applyBorder="1" applyAlignment="1">
      <alignment horizontal="center"/>
    </xf>
    <xf numFmtId="0" fontId="0" fillId="0" borderId="0" xfId="0" applyFill="1" applyBorder="1" applyAlignment="1">
      <alignment horizontal="center"/>
    </xf>
    <xf numFmtId="0" fontId="2" fillId="0" borderId="0" xfId="1" applyBorder="1" applyAlignment="1">
      <alignment horizontal="left"/>
    </xf>
    <xf numFmtId="0" fontId="5" fillId="0" borderId="0" xfId="0" applyFont="1" applyAlignment="1">
      <alignment horizontal="left" vertical="center" wrapText="1"/>
    </xf>
    <xf numFmtId="0" fontId="0" fillId="0" borderId="16" xfId="0" applyBorder="1" applyAlignment="1">
      <alignment horizontal="center"/>
    </xf>
    <xf numFmtId="0" fontId="0" fillId="0" borderId="21" xfId="0" applyBorder="1" applyAlignment="1">
      <alignment horizontal="center"/>
    </xf>
    <xf numFmtId="0" fontId="0" fillId="0" borderId="32" xfId="0" applyBorder="1" applyAlignment="1">
      <alignment horizontal="center"/>
    </xf>
    <xf numFmtId="164" fontId="46" fillId="0" borderId="16" xfId="0" applyNumberFormat="1" applyFont="1" applyBorder="1" applyAlignment="1">
      <alignment horizontal="center"/>
    </xf>
    <xf numFmtId="164" fontId="46" fillId="0" borderId="34" xfId="0" applyNumberFormat="1" applyFont="1" applyBorder="1" applyAlignment="1">
      <alignment horizontal="center"/>
    </xf>
    <xf numFmtId="0" fontId="2" fillId="0" borderId="14" xfId="1" applyBorder="1" applyAlignment="1">
      <alignment horizontal="left"/>
    </xf>
    <xf numFmtId="0" fontId="33" fillId="0" borderId="39" xfId="0" applyFont="1" applyBorder="1" applyAlignment="1">
      <alignment horizontal="center"/>
    </xf>
    <xf numFmtId="0" fontId="1" fillId="0" borderId="0" xfId="0" applyFont="1" applyFill="1" applyBorder="1" applyAlignment="1">
      <alignment horizontal="center" wrapText="1"/>
    </xf>
    <xf numFmtId="164" fontId="0" fillId="0" borderId="16" xfId="0" applyNumberFormat="1" applyBorder="1" applyAlignment="1">
      <alignment horizontal="center"/>
    </xf>
    <xf numFmtId="164" fontId="0" fillId="0" borderId="32" xfId="0" applyNumberFormat="1" applyBorder="1" applyAlignment="1">
      <alignment horizontal="center"/>
    </xf>
    <xf numFmtId="164" fontId="0" fillId="0" borderId="21" xfId="0" applyNumberFormat="1" applyBorder="1" applyAlignment="1">
      <alignment horizontal="center"/>
    </xf>
    <xf numFmtId="164" fontId="0" fillId="0" borderId="34" xfId="0" applyNumberFormat="1" applyBorder="1" applyAlignment="1">
      <alignment horizontal="center"/>
    </xf>
    <xf numFmtId="164" fontId="0" fillId="0" borderId="33" xfId="0" applyNumberFormat="1" applyBorder="1" applyAlignment="1">
      <alignment horizontal="center"/>
    </xf>
    <xf numFmtId="0" fontId="0" fillId="0" borderId="0" xfId="0" applyBorder="1" applyAlignment="1">
      <alignment horizontal="center"/>
    </xf>
    <xf numFmtId="0" fontId="0" fillId="0" borderId="0" xfId="0" applyFont="1" applyFill="1" applyBorder="1" applyAlignment="1">
      <alignment horizontal="left" vertical="center" wrapText="1"/>
    </xf>
    <xf numFmtId="0" fontId="46" fillId="0" borderId="16" xfId="0" applyFont="1" applyFill="1" applyBorder="1" applyAlignment="1">
      <alignment horizontal="center" vertical="center" wrapText="1"/>
    </xf>
    <xf numFmtId="0" fontId="40" fillId="0" borderId="19" xfId="0" applyFont="1" applyBorder="1" applyAlignment="1">
      <alignment vertical="top"/>
    </xf>
    <xf numFmtId="0" fontId="5" fillId="0" borderId="0" xfId="0" applyFont="1" applyAlignment="1">
      <alignment horizontal="left" vertical="center" indent="5"/>
    </xf>
    <xf numFmtId="0" fontId="5" fillId="0" borderId="0" xfId="0" applyFont="1" applyAlignment="1">
      <alignment vertical="center"/>
    </xf>
    <xf numFmtId="0" fontId="14" fillId="0" borderId="19" xfId="0" applyFont="1" applyBorder="1" applyAlignment="1">
      <alignment vertical="center"/>
    </xf>
    <xf numFmtId="0" fontId="33" fillId="0" borderId="19" xfId="0" applyFont="1" applyBorder="1"/>
    <xf numFmtId="0" fontId="0" fillId="0" borderId="40" xfId="0" applyFont="1" applyBorder="1" applyAlignment="1">
      <alignment horizontal="center"/>
    </xf>
    <xf numFmtId="0" fontId="0" fillId="0" borderId="39" xfId="0" applyBorder="1" applyAlignment="1">
      <alignment horizontal="center" vertical="center"/>
    </xf>
    <xf numFmtId="0" fontId="1" fillId="0" borderId="21" xfId="0" applyFont="1" applyBorder="1" applyAlignment="1">
      <alignment horizontal="center" vertical="center"/>
    </xf>
    <xf numFmtId="0" fontId="1" fillId="0" borderId="16" xfId="0" applyFont="1" applyBorder="1" applyAlignment="1">
      <alignment horizontal="center" vertical="center" wrapText="1"/>
    </xf>
    <xf numFmtId="0" fontId="1" fillId="8" borderId="16" xfId="0" applyFont="1" applyFill="1" applyBorder="1" applyAlignment="1">
      <alignment horizontal="center" vertical="center"/>
    </xf>
    <xf numFmtId="0" fontId="1" fillId="8" borderId="32" xfId="0" applyFont="1" applyFill="1" applyBorder="1" applyAlignment="1">
      <alignment horizontal="center" vertical="center"/>
    </xf>
    <xf numFmtId="0" fontId="1" fillId="0" borderId="0" xfId="0" applyFont="1" applyBorder="1" applyAlignment="1">
      <alignment vertical="center"/>
    </xf>
    <xf numFmtId="0" fontId="1" fillId="0" borderId="9" xfId="0" applyFont="1" applyBorder="1" applyAlignment="1">
      <alignment vertical="center"/>
    </xf>
    <xf numFmtId="0" fontId="46" fillId="0" borderId="19" xfId="0" applyFont="1" applyBorder="1" applyAlignment="1">
      <alignment vertical="center"/>
    </xf>
    <xf numFmtId="0" fontId="35" fillId="0" borderId="36" xfId="0" applyFont="1" applyBorder="1"/>
    <xf numFmtId="0" fontId="12" fillId="0" borderId="19" xfId="0" applyFont="1" applyBorder="1" applyAlignment="1">
      <alignment horizontal="center" vertical="center"/>
    </xf>
    <xf numFmtId="0" fontId="67" fillId="0" borderId="19" xfId="0" applyFont="1" applyBorder="1" applyAlignment="1">
      <alignment horizontal="left" vertical="center" indent="5"/>
    </xf>
    <xf numFmtId="0" fontId="33" fillId="0" borderId="19" xfId="0" applyFont="1" applyBorder="1" applyAlignment="1">
      <alignment vertical="center"/>
    </xf>
    <xf numFmtId="0" fontId="0" fillId="0" borderId="15" xfId="0" applyFill="1" applyBorder="1" applyAlignment="1">
      <alignment horizontal="center"/>
    </xf>
    <xf numFmtId="14" fontId="0" fillId="0" borderId="15" xfId="0" applyNumberFormat="1" applyFill="1" applyBorder="1" applyAlignment="1"/>
    <xf numFmtId="14" fontId="0" fillId="0" borderId="15" xfId="0" applyNumberFormat="1" applyFill="1" applyBorder="1" applyAlignment="1">
      <alignment horizontal="center"/>
    </xf>
    <xf numFmtId="22" fontId="0" fillId="0" borderId="15" xfId="0" applyNumberFormat="1" applyFill="1" applyBorder="1" applyAlignment="1"/>
    <xf numFmtId="14" fontId="0" fillId="0" borderId="0" xfId="0" applyNumberFormat="1"/>
    <xf numFmtId="0" fontId="0" fillId="0" borderId="0" xfId="0" applyAlignment="1">
      <alignment wrapText="1"/>
    </xf>
    <xf numFmtId="0" fontId="0" fillId="8" borderId="16" xfId="0" applyFill="1" applyBorder="1"/>
    <xf numFmtId="0" fontId="0" fillId="0" borderId="0" xfId="0" applyFont="1" applyBorder="1" applyAlignment="1">
      <alignment horizontal="center"/>
    </xf>
    <xf numFmtId="0" fontId="0" fillId="0" borderId="20" xfId="0" applyFont="1" applyBorder="1" applyAlignment="1">
      <alignment horizontal="center"/>
    </xf>
    <xf numFmtId="0" fontId="69" fillId="0" borderId="16" xfId="0" applyFont="1" applyBorder="1" applyAlignment="1">
      <alignment vertical="center" wrapText="1"/>
    </xf>
    <xf numFmtId="0" fontId="1" fillId="0" borderId="32" xfId="0" applyFont="1" applyBorder="1" applyAlignment="1">
      <alignment horizontal="center" vertical="center" wrapText="1"/>
    </xf>
    <xf numFmtId="0" fontId="46" fillId="0" borderId="14" xfId="0" applyFont="1" applyFill="1" applyBorder="1"/>
    <xf numFmtId="1" fontId="0" fillId="0" borderId="0" xfId="0" applyNumberFormat="1" applyFont="1" applyFill="1" applyBorder="1" applyAlignment="1">
      <alignment horizontal="center" vertical="center" wrapText="1"/>
    </xf>
    <xf numFmtId="0" fontId="33" fillId="0" borderId="0" xfId="0" applyFont="1" applyFill="1" applyBorder="1" applyAlignment="1">
      <alignment horizontal="left"/>
    </xf>
    <xf numFmtId="0" fontId="0" fillId="0" borderId="0" xfId="0" applyFont="1" applyFill="1" applyBorder="1" applyAlignment="1">
      <alignment vertical="center"/>
    </xf>
    <xf numFmtId="0" fontId="0" fillId="0" borderId="20" xfId="0" applyFont="1" applyFill="1" applyBorder="1" applyProtection="1"/>
    <xf numFmtId="0" fontId="0" fillId="0" borderId="16" xfId="0" applyFont="1" applyBorder="1" applyAlignment="1">
      <alignment horizontal="center" vertical="center" wrapText="1"/>
    </xf>
    <xf numFmtId="0" fontId="0" fillId="0" borderId="21" xfId="0" applyFont="1" applyBorder="1" applyAlignment="1">
      <alignment horizontal="center"/>
    </xf>
    <xf numFmtId="0" fontId="45" fillId="0" borderId="14" xfId="0" applyFont="1" applyFill="1" applyBorder="1"/>
    <xf numFmtId="0" fontId="52" fillId="0" borderId="14" xfId="0" applyFont="1" applyBorder="1" applyAlignment="1">
      <alignment horizontal="center"/>
    </xf>
    <xf numFmtId="0" fontId="0" fillId="0" borderId="0" xfId="0" applyFill="1" applyBorder="1" applyAlignment="1">
      <alignment horizontal="left" wrapText="1"/>
    </xf>
    <xf numFmtId="0" fontId="54" fillId="0" borderId="0" xfId="0" applyFont="1" applyFill="1" applyBorder="1" applyAlignment="1">
      <alignment horizontal="left" wrapText="1"/>
    </xf>
    <xf numFmtId="0" fontId="54" fillId="0" borderId="0" xfId="0" applyFont="1" applyBorder="1" applyAlignment="1">
      <alignment horizontal="left" wrapText="1"/>
    </xf>
    <xf numFmtId="0" fontId="42" fillId="0" borderId="0" xfId="0" applyFont="1" applyFill="1" applyBorder="1" applyAlignment="1">
      <alignment horizontal="left" vertical="center" wrapText="1"/>
    </xf>
    <xf numFmtId="0" fontId="0" fillId="0" borderId="0" xfId="0" applyFont="1" applyFill="1" applyBorder="1" applyAlignment="1" applyProtection="1">
      <alignment horizontal="left" vertical="center" wrapText="1"/>
    </xf>
    <xf numFmtId="0" fontId="2" fillId="0" borderId="0" xfId="1" applyAlignment="1">
      <alignment horizontal="left" vertical="center" indent="5"/>
    </xf>
    <xf numFmtId="0" fontId="2" fillId="0" borderId="0" xfId="1" applyAlignment="1">
      <alignment vertical="center"/>
    </xf>
    <xf numFmtId="0" fontId="53" fillId="0" borderId="0" xfId="0" applyFont="1" applyAlignment="1">
      <alignment horizontal="left" vertical="center" indent="5"/>
    </xf>
    <xf numFmtId="0" fontId="53" fillId="0" borderId="0" xfId="0" applyFont="1" applyAlignment="1">
      <alignment horizontal="left" vertical="center" indent="8"/>
    </xf>
    <xf numFmtId="0" fontId="72" fillId="0" borderId="0" xfId="0" applyFont="1" applyAlignment="1">
      <alignment vertical="center"/>
    </xf>
    <xf numFmtId="0" fontId="73" fillId="0" borderId="0" xfId="0" applyFont="1" applyAlignment="1">
      <alignment vertical="center"/>
    </xf>
    <xf numFmtId="0" fontId="77" fillId="0" borderId="0" xfId="0" applyFont="1" applyAlignment="1">
      <alignment horizontal="left" vertical="center" indent="5"/>
    </xf>
    <xf numFmtId="0" fontId="70" fillId="0" borderId="0" xfId="0" applyFont="1" applyAlignment="1">
      <alignment horizontal="left" vertical="center" wrapText="1"/>
    </xf>
    <xf numFmtId="0" fontId="2" fillId="0" borderId="0" xfId="1" applyAlignment="1">
      <alignment horizontal="left" vertical="center" wrapText="1"/>
    </xf>
    <xf numFmtId="0" fontId="0" fillId="0" borderId="16" xfId="0" applyBorder="1" applyAlignment="1">
      <alignment horizontal="center"/>
    </xf>
    <xf numFmtId="165" fontId="0" fillId="0" borderId="0" xfId="0" applyNumberFormat="1" applyFill="1"/>
    <xf numFmtId="1" fontId="46" fillId="0" borderId="73" xfId="0" applyNumberFormat="1" applyFont="1" applyBorder="1" applyAlignment="1">
      <alignment horizontal="center" vertical="center"/>
    </xf>
    <xf numFmtId="1" fontId="46" fillId="0" borderId="68" xfId="0" applyNumberFormat="1" applyFont="1" applyBorder="1" applyAlignment="1">
      <alignment horizontal="center" vertical="center"/>
    </xf>
    <xf numFmtId="0" fontId="33" fillId="0" borderId="19" xfId="0" applyFont="1" applyBorder="1" applyAlignment="1">
      <alignment horizontal="center" vertical="center" wrapText="1"/>
    </xf>
    <xf numFmtId="0" fontId="0" fillId="0" borderId="0" xfId="0" applyFont="1" applyBorder="1" applyAlignment="1">
      <alignment vertical="center" wrapText="1"/>
    </xf>
    <xf numFmtId="0" fontId="46" fillId="0" borderId="0" xfId="0" applyFont="1" applyBorder="1" applyAlignment="1">
      <alignment vertical="top"/>
    </xf>
    <xf numFmtId="1" fontId="31" fillId="0" borderId="16" xfId="0" applyNumberFormat="1" applyFont="1" applyFill="1" applyBorder="1" applyAlignment="1">
      <alignment horizontal="center" vertical="center"/>
    </xf>
    <xf numFmtId="0" fontId="33" fillId="0" borderId="0" xfId="0" applyFont="1" applyAlignment="1">
      <alignment horizontal="left" vertical="center" indent="5"/>
    </xf>
    <xf numFmtId="0" fontId="33" fillId="0" borderId="0" xfId="0" applyFont="1" applyAlignment="1">
      <alignment horizontal="left" vertical="center" indent="8"/>
    </xf>
    <xf numFmtId="0" fontId="46" fillId="0" borderId="0" xfId="0" applyFont="1"/>
    <xf numFmtId="0" fontId="37" fillId="0" borderId="2" xfId="0" applyFont="1" applyBorder="1" applyAlignment="1">
      <alignment wrapText="1"/>
    </xf>
    <xf numFmtId="0" fontId="37" fillId="0" borderId="0" xfId="0" applyFont="1" applyBorder="1" applyAlignment="1">
      <alignment wrapText="1"/>
    </xf>
    <xf numFmtId="0" fontId="37" fillId="0" borderId="2" xfId="0" applyFont="1" applyBorder="1" applyAlignment="1"/>
    <xf numFmtId="0" fontId="0" fillId="0" borderId="20" xfId="0" applyFont="1" applyBorder="1" applyAlignment="1">
      <alignment vertical="center" wrapText="1"/>
    </xf>
    <xf numFmtId="0" fontId="0" fillId="0" borderId="25" xfId="0" applyFont="1" applyBorder="1" applyAlignment="1">
      <alignment vertical="center" wrapText="1"/>
    </xf>
    <xf numFmtId="0" fontId="0" fillId="0" borderId="0" xfId="0" applyFill="1" applyBorder="1" applyAlignment="1" applyProtection="1">
      <alignment vertical="top"/>
    </xf>
    <xf numFmtId="49" fontId="5" fillId="0" borderId="0" xfId="0" applyNumberFormat="1" applyFont="1" applyAlignment="1">
      <alignment vertical="center"/>
    </xf>
    <xf numFmtId="0" fontId="12" fillId="0" borderId="0" xfId="0" applyFont="1"/>
    <xf numFmtId="49" fontId="5" fillId="0" borderId="0" xfId="0" applyNumberFormat="1" applyFont="1"/>
    <xf numFmtId="0" fontId="77" fillId="0" borderId="0" xfId="0" applyFont="1" applyAlignment="1">
      <alignment vertical="center"/>
    </xf>
    <xf numFmtId="0" fontId="77" fillId="0" borderId="0" xfId="0" applyFont="1" applyAlignment="1">
      <alignment horizontal="left" vertical="center"/>
    </xf>
    <xf numFmtId="0" fontId="53" fillId="0" borderId="0" xfId="0" applyFont="1" applyAlignment="1">
      <alignment horizontal="left" vertical="center"/>
    </xf>
    <xf numFmtId="0" fontId="5" fillId="0" borderId="0" xfId="0" applyFont="1"/>
    <xf numFmtId="0" fontId="0" fillId="0" borderId="0" xfId="0" applyFill="1" applyBorder="1" applyAlignment="1">
      <alignment wrapText="1"/>
    </xf>
    <xf numFmtId="0" fontId="0" fillId="0" borderId="20" xfId="0" applyFill="1" applyBorder="1" applyAlignment="1">
      <alignment wrapText="1"/>
    </xf>
    <xf numFmtId="0" fontId="54" fillId="0" borderId="0" xfId="0" applyFont="1" applyFill="1" applyBorder="1" applyAlignment="1">
      <alignment wrapText="1"/>
    </xf>
    <xf numFmtId="0" fontId="0" fillId="0" borderId="0" xfId="0" applyFill="1" applyBorder="1" applyAlignment="1">
      <alignment vertical="top" wrapText="1"/>
    </xf>
    <xf numFmtId="0" fontId="54" fillId="0" borderId="0" xfId="0" applyFont="1" applyBorder="1" applyAlignment="1">
      <alignment wrapText="1"/>
    </xf>
    <xf numFmtId="0" fontId="54" fillId="0" borderId="0" xfId="0" applyFont="1" applyBorder="1" applyAlignment="1">
      <alignment vertical="top" wrapText="1"/>
    </xf>
    <xf numFmtId="0" fontId="1" fillId="0" borderId="0" xfId="0" applyFont="1" applyFill="1" applyBorder="1" applyAlignment="1">
      <alignment vertical="top"/>
    </xf>
    <xf numFmtId="0" fontId="0" fillId="0" borderId="0" xfId="0" applyFont="1" applyBorder="1" applyAlignment="1">
      <alignment vertical="center"/>
    </xf>
    <xf numFmtId="0" fontId="21" fillId="0" borderId="0" xfId="0" applyFont="1" applyFill="1" applyBorder="1" applyAlignment="1">
      <alignment horizontal="left" vertical="top" wrapText="1"/>
    </xf>
    <xf numFmtId="0" fontId="0" fillId="0" borderId="0" xfId="0" applyFont="1" applyFill="1" applyBorder="1" applyAlignment="1" applyProtection="1"/>
    <xf numFmtId="0" fontId="0" fillId="0" borderId="20" xfId="0" applyFont="1" applyFill="1" applyBorder="1" applyAlignment="1" applyProtection="1"/>
    <xf numFmtId="0" fontId="0" fillId="0" borderId="20" xfId="0" applyFont="1" applyFill="1" applyBorder="1" applyAlignment="1">
      <alignment vertical="center"/>
    </xf>
    <xf numFmtId="0" fontId="0" fillId="0" borderId="0" xfId="0" applyFont="1" applyFill="1" applyBorder="1" applyAlignment="1" applyProtection="1">
      <alignment vertical="center"/>
    </xf>
    <xf numFmtId="0" fontId="0" fillId="0" borderId="20" xfId="0" applyFont="1" applyFill="1" applyBorder="1" applyAlignment="1" applyProtection="1">
      <alignment vertical="center"/>
    </xf>
    <xf numFmtId="0" fontId="1" fillId="0" borderId="0" xfId="0" applyFont="1" applyBorder="1" applyAlignment="1">
      <alignment horizontal="right" vertical="top"/>
    </xf>
    <xf numFmtId="0" fontId="1" fillId="0" borderId="0" xfId="0" applyFont="1" applyFill="1" applyBorder="1" applyAlignment="1">
      <alignment horizontal="right" vertical="top"/>
    </xf>
    <xf numFmtId="0" fontId="33" fillId="0" borderId="0" xfId="0" applyFont="1" applyBorder="1" applyAlignment="1">
      <alignment horizontal="right" vertical="top" wrapText="1"/>
    </xf>
    <xf numFmtId="0" fontId="21" fillId="0" borderId="0" xfId="0" applyFont="1" applyFill="1" applyBorder="1" applyAlignment="1">
      <alignment vertical="top" wrapText="1"/>
    </xf>
    <xf numFmtId="0" fontId="0" fillId="0" borderId="0" xfId="0" applyFont="1" applyFill="1" applyBorder="1" applyAlignment="1" applyProtection="1">
      <alignment horizontal="left"/>
    </xf>
    <xf numFmtId="0" fontId="5" fillId="0" borderId="0" xfId="0" applyFont="1" applyAlignment="1">
      <alignment horizontal="left" wrapText="1"/>
    </xf>
    <xf numFmtId="0" fontId="0" fillId="0" borderId="18" xfId="0" applyFill="1" applyBorder="1"/>
    <xf numFmtId="0" fontId="5" fillId="0" borderId="19" xfId="0" applyFont="1" applyBorder="1"/>
    <xf numFmtId="0" fontId="0" fillId="0" borderId="20" xfId="0" applyFill="1" applyBorder="1"/>
    <xf numFmtId="0" fontId="33" fillId="0" borderId="19" xfId="0" applyFont="1" applyFill="1" applyBorder="1" applyAlignment="1">
      <alignment horizontal="left"/>
    </xf>
    <xf numFmtId="0" fontId="1" fillId="0" borderId="19" xfId="0" applyFont="1" applyFill="1" applyBorder="1" applyAlignment="1">
      <alignment horizontal="right" vertical="top"/>
    </xf>
    <xf numFmtId="0" fontId="1" fillId="0" borderId="19" xfId="0" applyFont="1" applyBorder="1" applyAlignment="1">
      <alignment horizontal="right" vertical="top"/>
    </xf>
    <xf numFmtId="0" fontId="0" fillId="0" borderId="19" xfId="0" applyFont="1" applyBorder="1" applyAlignment="1">
      <alignment vertical="center"/>
    </xf>
    <xf numFmtId="0" fontId="0" fillId="0" borderId="19" xfId="0" applyFont="1" applyBorder="1" applyAlignment="1">
      <alignment horizontal="center"/>
    </xf>
    <xf numFmtId="0" fontId="0" fillId="0" borderId="20" xfId="0" applyFont="1" applyFill="1" applyBorder="1" applyAlignment="1"/>
    <xf numFmtId="0" fontId="0" fillId="0" borderId="24" xfId="0" applyFill="1" applyBorder="1" applyProtection="1"/>
    <xf numFmtId="0" fontId="0" fillId="0" borderId="0" xfId="0" applyFont="1" applyBorder="1" applyAlignment="1">
      <alignment horizontal="left"/>
    </xf>
    <xf numFmtId="0" fontId="0" fillId="0" borderId="0" xfId="0" applyFont="1" applyBorder="1" applyAlignment="1">
      <alignment horizontal="left" vertical="center"/>
    </xf>
    <xf numFmtId="0" fontId="0" fillId="0" borderId="0" xfId="0" applyFont="1" applyBorder="1" applyAlignment="1"/>
    <xf numFmtId="0" fontId="14" fillId="0" borderId="0" xfId="0" applyFont="1" applyFill="1" applyBorder="1" applyProtection="1"/>
    <xf numFmtId="0" fontId="13" fillId="0" borderId="36" xfId="0" applyFont="1" applyBorder="1"/>
    <xf numFmtId="0" fontId="12" fillId="0" borderId="19" xfId="0" applyFont="1" applyBorder="1" applyAlignment="1">
      <alignment vertical="center"/>
    </xf>
    <xf numFmtId="0" fontId="25" fillId="0" borderId="19" xfId="0" applyFont="1" applyBorder="1" applyAlignment="1">
      <alignment vertical="center"/>
    </xf>
    <xf numFmtId="0" fontId="26" fillId="0" borderId="19" xfId="0" applyFont="1" applyBorder="1" applyAlignment="1">
      <alignment vertical="center"/>
    </xf>
    <xf numFmtId="0" fontId="27" fillId="0" borderId="19" xfId="0" applyFont="1" applyBorder="1" applyAlignment="1">
      <alignment vertical="center"/>
    </xf>
    <xf numFmtId="0" fontId="24" fillId="0" borderId="19" xfId="0" applyFont="1" applyBorder="1" applyAlignment="1">
      <alignment vertical="center"/>
    </xf>
    <xf numFmtId="0" fontId="54" fillId="0" borderId="0" xfId="0" applyFont="1" applyFill="1" applyBorder="1" applyAlignment="1">
      <alignment vertical="top" wrapText="1"/>
    </xf>
    <xf numFmtId="0" fontId="0" fillId="0" borderId="0" xfId="0" applyFont="1" applyBorder="1" applyAlignment="1">
      <alignment vertical="top" wrapText="1"/>
    </xf>
    <xf numFmtId="0" fontId="2" fillId="0" borderId="0" xfId="1" applyBorder="1" applyAlignment="1">
      <alignment vertical="top"/>
    </xf>
    <xf numFmtId="0" fontId="56" fillId="0" borderId="0" xfId="0" applyFont="1" applyFill="1" applyBorder="1"/>
    <xf numFmtId="0" fontId="48" fillId="0" borderId="15" xfId="0" applyFont="1" applyFill="1" applyBorder="1" applyAlignment="1"/>
    <xf numFmtId="0" fontId="0" fillId="0" borderId="15" xfId="0" applyFont="1" applyFill="1" applyBorder="1" applyAlignment="1" applyProtection="1"/>
    <xf numFmtId="0" fontId="0" fillId="0" borderId="15" xfId="0" applyFont="1" applyFill="1" applyBorder="1" applyAlignment="1" applyProtection="1">
      <alignment horizontal="left"/>
    </xf>
    <xf numFmtId="0" fontId="0" fillId="0" borderId="15" xfId="0" applyFont="1" applyBorder="1" applyAlignment="1">
      <alignment vertical="center" wrapText="1"/>
    </xf>
    <xf numFmtId="0" fontId="1" fillId="0" borderId="20" xfId="0" applyFont="1" applyFill="1" applyBorder="1" applyAlignment="1"/>
    <xf numFmtId="0" fontId="0" fillId="0" borderId="20" xfId="0" applyFill="1" applyBorder="1" applyAlignment="1" applyProtection="1"/>
    <xf numFmtId="0" fontId="54" fillId="0" borderId="20" xfId="0" applyFont="1" applyFill="1" applyBorder="1" applyAlignment="1"/>
    <xf numFmtId="0" fontId="0" fillId="0" borderId="20" xfId="0" applyFont="1" applyBorder="1"/>
    <xf numFmtId="0" fontId="0" fillId="0" borderId="20" xfId="0" applyFont="1" applyFill="1" applyBorder="1"/>
    <xf numFmtId="0" fontId="0" fillId="15" borderId="16" xfId="0" applyFont="1" applyFill="1" applyBorder="1" applyAlignment="1">
      <alignment horizontal="center"/>
    </xf>
    <xf numFmtId="0" fontId="0" fillId="16" borderId="16" xfId="0" applyFont="1" applyFill="1" applyBorder="1" applyAlignment="1">
      <alignment horizontal="center"/>
    </xf>
    <xf numFmtId="0" fontId="10" fillId="0" borderId="0" xfId="0" applyFont="1" applyFill="1" applyBorder="1" applyAlignment="1">
      <alignment vertical="center"/>
    </xf>
    <xf numFmtId="0" fontId="10" fillId="0" borderId="0" xfId="0" applyFont="1" applyFill="1" applyBorder="1" applyAlignment="1">
      <alignment horizontal="right" vertical="center" wrapText="1"/>
    </xf>
    <xf numFmtId="0" fontId="14" fillId="0" borderId="19" xfId="0" applyFont="1" applyBorder="1" applyAlignment="1"/>
    <xf numFmtId="0" fontId="56" fillId="0" borderId="0" xfId="0" applyFont="1" applyFill="1" applyBorder="1" applyAlignment="1">
      <alignment vertical="top" wrapText="1"/>
    </xf>
    <xf numFmtId="0" fontId="48" fillId="0" borderId="19" xfId="0" applyFont="1" applyFill="1" applyBorder="1" applyAlignment="1">
      <alignment vertical="center"/>
    </xf>
    <xf numFmtId="0" fontId="48" fillId="0" borderId="0" xfId="0" applyFont="1" applyFill="1" applyBorder="1" applyAlignment="1">
      <alignment vertical="center"/>
    </xf>
    <xf numFmtId="164" fontId="31" fillId="12" borderId="16" xfId="0" applyNumberFormat="1" applyFont="1" applyFill="1" applyBorder="1" applyAlignment="1">
      <alignment horizontal="center" vertical="center" wrapText="1"/>
    </xf>
    <xf numFmtId="164" fontId="31" fillId="12" borderId="16" xfId="0" applyNumberFormat="1" applyFont="1" applyFill="1" applyBorder="1" applyAlignment="1">
      <alignment horizontal="center" vertical="center"/>
    </xf>
    <xf numFmtId="2" fontId="0" fillId="0" borderId="0" xfId="0" applyNumberFormat="1" applyFill="1" applyBorder="1" applyAlignment="1">
      <alignment horizontal="center"/>
    </xf>
    <xf numFmtId="0" fontId="0" fillId="0" borderId="0" xfId="0" applyFill="1" applyAlignment="1">
      <alignment horizontal="right"/>
    </xf>
    <xf numFmtId="0" fontId="14" fillId="0" borderId="0" xfId="0" applyFont="1" applyBorder="1" applyAlignment="1">
      <alignment vertical="top"/>
    </xf>
    <xf numFmtId="0" fontId="2" fillId="0" borderId="0" xfId="1" applyAlignment="1">
      <alignment horizontal="left" vertical="center"/>
    </xf>
    <xf numFmtId="0" fontId="12" fillId="0" borderId="0" xfId="0" applyFont="1" applyAlignment="1">
      <alignment horizontal="left" vertical="center" indent="5"/>
    </xf>
    <xf numFmtId="0" fontId="81" fillId="0" borderId="0" xfId="0" applyFont="1" applyAlignment="1">
      <alignment horizontal="left" vertical="center" readingOrder="1"/>
    </xf>
    <xf numFmtId="2" fontId="31" fillId="7" borderId="16" xfId="0" applyNumberFormat="1" applyFont="1" applyFill="1" applyBorder="1" applyAlignment="1">
      <alignment horizontal="center" vertical="center"/>
    </xf>
    <xf numFmtId="0" fontId="12" fillId="0" borderId="49" xfId="0" applyFont="1" applyBorder="1" applyAlignment="1">
      <alignment vertical="center" wrapText="1"/>
    </xf>
    <xf numFmtId="0" fontId="12" fillId="0" borderId="52" xfId="0" applyFont="1" applyBorder="1" applyAlignment="1">
      <alignment vertical="center" wrapText="1"/>
    </xf>
    <xf numFmtId="0" fontId="0" fillId="0" borderId="76" xfId="0" applyBorder="1"/>
    <xf numFmtId="0" fontId="0" fillId="0" borderId="53" xfId="0" applyBorder="1"/>
    <xf numFmtId="0" fontId="5" fillId="0" borderId="20" xfId="0" applyFont="1" applyBorder="1" applyAlignment="1">
      <alignment vertical="center" wrapText="1"/>
    </xf>
    <xf numFmtId="0" fontId="5" fillId="0" borderId="25" xfId="0" applyFont="1" applyBorder="1" applyAlignment="1">
      <alignment vertical="center" wrapText="1"/>
    </xf>
    <xf numFmtId="0" fontId="0" fillId="0" borderId="76" xfId="0" applyBorder="1" applyAlignment="1">
      <alignment vertical="top" wrapText="1"/>
    </xf>
    <xf numFmtId="0" fontId="0" fillId="0" borderId="20" xfId="0" applyBorder="1" applyAlignment="1">
      <alignment vertical="center" wrapText="1"/>
    </xf>
    <xf numFmtId="0" fontId="0" fillId="0" borderId="20" xfId="0" applyBorder="1" applyAlignment="1">
      <alignment vertical="top" wrapText="1"/>
    </xf>
    <xf numFmtId="0" fontId="0" fillId="0" borderId="25" xfId="0" applyBorder="1" applyAlignment="1">
      <alignment vertical="top" wrapText="1"/>
    </xf>
    <xf numFmtId="0" fontId="64" fillId="0" borderId="20" xfId="0" applyFont="1" applyBorder="1" applyAlignment="1">
      <alignment vertical="center" wrapText="1"/>
    </xf>
    <xf numFmtId="0" fontId="87" fillId="0" borderId="20" xfId="0" applyFont="1" applyBorder="1" applyAlignment="1">
      <alignment vertical="center" wrapText="1"/>
    </xf>
    <xf numFmtId="0" fontId="66" fillId="0" borderId="25" xfId="0" applyFont="1" applyBorder="1" applyAlignment="1">
      <alignment vertical="center" wrapText="1"/>
    </xf>
    <xf numFmtId="0" fontId="5" fillId="0" borderId="25" xfId="0" applyFont="1" applyBorder="1" applyAlignment="1">
      <alignment horizontal="left" vertical="center" wrapText="1" indent="5"/>
    </xf>
    <xf numFmtId="0" fontId="12" fillId="0" borderId="20" xfId="0" applyFont="1" applyBorder="1" applyAlignment="1">
      <alignment vertical="center" wrapText="1"/>
    </xf>
    <xf numFmtId="0" fontId="0" fillId="0" borderId="0" xfId="0" applyAlignment="1">
      <alignment vertical="top"/>
    </xf>
    <xf numFmtId="0" fontId="77" fillId="0" borderId="0" xfId="0" applyFont="1" applyAlignment="1">
      <alignment horizontal="left" vertical="top"/>
    </xf>
    <xf numFmtId="0" fontId="12" fillId="0" borderId="49" xfId="0" applyFont="1" applyBorder="1" applyAlignment="1">
      <alignment vertical="top" wrapText="1"/>
    </xf>
    <xf numFmtId="0" fontId="5" fillId="0" borderId="0" xfId="0" applyFont="1" applyAlignment="1">
      <alignment vertical="top"/>
    </xf>
    <xf numFmtId="0" fontId="5" fillId="0" borderId="0" xfId="0" applyFont="1" applyBorder="1" applyAlignment="1">
      <alignment vertical="center" wrapText="1"/>
    </xf>
    <xf numFmtId="0" fontId="0" fillId="0" borderId="54" xfId="0" applyBorder="1"/>
    <xf numFmtId="0" fontId="0" fillId="0" borderId="53" xfId="0" applyBorder="1" applyAlignment="1">
      <alignment vertical="top"/>
    </xf>
    <xf numFmtId="0" fontId="0" fillId="0" borderId="0" xfId="0" applyBorder="1" applyAlignment="1">
      <alignment vertical="top" wrapText="1"/>
    </xf>
    <xf numFmtId="0" fontId="0" fillId="0" borderId="0" xfId="0" applyBorder="1" applyAlignment="1">
      <alignment vertical="center" wrapText="1"/>
    </xf>
    <xf numFmtId="0" fontId="0" fillId="0" borderId="76" xfId="0" applyBorder="1" applyAlignment="1">
      <alignment vertical="center" wrapText="1"/>
    </xf>
    <xf numFmtId="0" fontId="0" fillId="0" borderId="54" xfId="0" applyBorder="1" applyAlignment="1">
      <alignment vertical="center" wrapText="1"/>
    </xf>
    <xf numFmtId="0" fontId="5" fillId="0" borderId="53" xfId="0" applyFont="1" applyBorder="1" applyAlignment="1">
      <alignment wrapText="1"/>
    </xf>
    <xf numFmtId="0" fontId="5" fillId="0" borderId="20" xfId="0" applyFont="1" applyBorder="1" applyAlignment="1">
      <alignment horizontal="left" vertical="top" wrapText="1"/>
    </xf>
    <xf numFmtId="0" fontId="5" fillId="0" borderId="25" xfId="0" applyFont="1" applyBorder="1" applyAlignment="1">
      <alignment horizontal="left" vertical="top" wrapText="1"/>
    </xf>
    <xf numFmtId="0" fontId="2" fillId="0" borderId="0" xfId="1" applyAlignment="1">
      <alignment vertical="center" wrapText="1"/>
    </xf>
    <xf numFmtId="0" fontId="15" fillId="0" borderId="0" xfId="0" applyFont="1" applyBorder="1" applyAlignment="1">
      <alignment vertical="center" wrapText="1"/>
    </xf>
    <xf numFmtId="0" fontId="0" fillId="0" borderId="0" xfId="0" applyFill="1" applyBorder="1" applyAlignment="1">
      <alignment horizontal="center"/>
    </xf>
    <xf numFmtId="164" fontId="0" fillId="0" borderId="16" xfId="0" applyNumberFormat="1" applyBorder="1" applyAlignment="1">
      <alignment horizontal="center"/>
    </xf>
    <xf numFmtId="0" fontId="0" fillId="0" borderId="0" xfId="0" applyFill="1" applyBorder="1" applyAlignment="1">
      <alignment horizontal="left"/>
    </xf>
    <xf numFmtId="0" fontId="15" fillId="0" borderId="8" xfId="0" applyFont="1" applyFill="1" applyBorder="1" applyAlignment="1">
      <alignment horizontal="center"/>
    </xf>
    <xf numFmtId="0" fontId="37" fillId="0" borderId="0" xfId="0" applyFont="1" applyFill="1" applyBorder="1" applyAlignment="1">
      <alignment horizontal="center"/>
    </xf>
    <xf numFmtId="0" fontId="46" fillId="0" borderId="0" xfId="0" applyFont="1" applyBorder="1" applyAlignment="1">
      <alignment vertical="center"/>
    </xf>
    <xf numFmtId="0" fontId="0" fillId="0" borderId="0" xfId="0" applyFill="1" applyBorder="1" applyAlignment="1">
      <alignment horizontal="center"/>
    </xf>
    <xf numFmtId="0" fontId="0" fillId="0" borderId="16" xfId="0" applyBorder="1" applyAlignment="1">
      <alignment horizontal="center"/>
    </xf>
    <xf numFmtId="0" fontId="0" fillId="0" borderId="21" xfId="0" applyBorder="1" applyAlignment="1">
      <alignment horizontal="center"/>
    </xf>
    <xf numFmtId="1" fontId="46" fillId="0" borderId="0" xfId="0" applyNumberFormat="1" applyFont="1" applyBorder="1"/>
    <xf numFmtId="1" fontId="46" fillId="15" borderId="16" xfId="0" applyNumberFormat="1" applyFont="1" applyFill="1" applyBorder="1" applyAlignment="1">
      <alignment horizontal="center"/>
    </xf>
    <xf numFmtId="1" fontId="46" fillId="16" borderId="16" xfId="0" applyNumberFormat="1" applyFont="1" applyFill="1" applyBorder="1" applyAlignment="1">
      <alignment horizontal="center"/>
    </xf>
    <xf numFmtId="0" fontId="0" fillId="16" borderId="0" xfId="0" applyFill="1" applyBorder="1"/>
    <xf numFmtId="1" fontId="46" fillId="17" borderId="16" xfId="0" applyNumberFormat="1" applyFont="1" applyFill="1" applyBorder="1" applyAlignment="1">
      <alignment horizontal="center"/>
    </xf>
    <xf numFmtId="0" fontId="0" fillId="0" borderId="0" xfId="0"/>
    <xf numFmtId="0" fontId="0" fillId="0" borderId="0" xfId="0" applyAlignment="1">
      <alignment horizontal="center"/>
    </xf>
    <xf numFmtId="0" fontId="0" fillId="0" borderId="32" xfId="0" applyBorder="1" applyAlignment="1">
      <alignment horizontal="center"/>
    </xf>
    <xf numFmtId="164" fontId="0" fillId="0" borderId="32" xfId="0" applyNumberFormat="1" applyBorder="1" applyAlignment="1">
      <alignment horizontal="center"/>
    </xf>
    <xf numFmtId="0" fontId="37" fillId="0" borderId="0" xfId="0" applyFont="1" applyBorder="1" applyAlignment="1">
      <alignment horizontal="left"/>
    </xf>
    <xf numFmtId="0" fontId="0" fillId="0" borderId="0" xfId="0"/>
    <xf numFmtId="0" fontId="0" fillId="0" borderId="16" xfId="0" applyBorder="1" applyAlignment="1">
      <alignment horizontal="center"/>
    </xf>
    <xf numFmtId="0" fontId="0" fillId="0" borderId="32" xfId="0" applyBorder="1" applyAlignment="1">
      <alignment horizontal="center"/>
    </xf>
    <xf numFmtId="0" fontId="0" fillId="0" borderId="21" xfId="0" applyBorder="1" applyAlignment="1">
      <alignment horizontal="center"/>
    </xf>
    <xf numFmtId="0" fontId="1" fillId="0" borderId="29" xfId="0" applyFont="1" applyBorder="1" applyAlignment="1">
      <alignment horizontal="center"/>
    </xf>
    <xf numFmtId="0" fontId="5" fillId="0" borderId="0" xfId="0" applyFont="1" applyBorder="1" applyAlignment="1">
      <alignment horizontal="left" wrapText="1"/>
    </xf>
    <xf numFmtId="0" fontId="1" fillId="0" borderId="19" xfId="0" applyFont="1" applyFill="1" applyBorder="1" applyAlignment="1">
      <alignment horizontal="center" vertical="center" wrapText="1"/>
    </xf>
    <xf numFmtId="164" fontId="0" fillId="0" borderId="16" xfId="0" applyNumberFormat="1" applyBorder="1" applyAlignment="1">
      <alignment horizontal="center"/>
    </xf>
    <xf numFmtId="164" fontId="0" fillId="0" borderId="32" xfId="0" applyNumberFormat="1" applyBorder="1" applyAlignment="1">
      <alignment horizontal="center"/>
    </xf>
    <xf numFmtId="164" fontId="0" fillId="0" borderId="35" xfId="0" applyNumberFormat="1" applyBorder="1" applyAlignment="1">
      <alignment horizontal="center"/>
    </xf>
    <xf numFmtId="164" fontId="0" fillId="0" borderId="34" xfId="0" applyNumberFormat="1" applyBorder="1" applyAlignment="1">
      <alignment horizontal="center"/>
    </xf>
    <xf numFmtId="164" fontId="0" fillId="0" borderId="33" xfId="0" applyNumberFormat="1" applyBorder="1" applyAlignment="1">
      <alignment horizontal="center"/>
    </xf>
    <xf numFmtId="0" fontId="32" fillId="8" borderId="0" xfId="0" applyFont="1" applyFill="1" applyBorder="1" applyAlignment="1">
      <alignment horizontal="center" vertical="center" wrapText="1"/>
    </xf>
    <xf numFmtId="0" fontId="0" fillId="0" borderId="0" xfId="0"/>
    <xf numFmtId="0" fontId="5" fillId="0" borderId="54" xfId="0" applyFont="1" applyBorder="1" applyAlignment="1">
      <alignment vertical="top" wrapText="1"/>
    </xf>
    <xf numFmtId="0" fontId="5" fillId="0" borderId="53" xfId="0" applyFont="1" applyBorder="1" applyAlignment="1">
      <alignment vertical="top" wrapText="1"/>
    </xf>
    <xf numFmtId="0" fontId="5" fillId="0" borderId="54" xfId="0" applyFont="1" applyBorder="1" applyAlignment="1">
      <alignment vertical="center" wrapText="1"/>
    </xf>
    <xf numFmtId="0" fontId="5" fillId="0" borderId="53" xfId="0" applyFont="1" applyBorder="1" applyAlignment="1">
      <alignment vertical="center" wrapText="1"/>
    </xf>
    <xf numFmtId="0" fontId="5" fillId="0" borderId="76" xfId="0" applyFont="1" applyBorder="1" applyAlignment="1">
      <alignment vertical="top" wrapText="1"/>
    </xf>
    <xf numFmtId="0" fontId="5" fillId="0" borderId="76" xfId="0" applyFont="1" applyBorder="1" applyAlignment="1">
      <alignment vertical="center" wrapText="1"/>
    </xf>
    <xf numFmtId="0" fontId="5" fillId="0" borderId="25" xfId="0" applyFont="1" applyBorder="1" applyAlignment="1">
      <alignment vertical="top" wrapText="1"/>
    </xf>
    <xf numFmtId="0" fontId="49" fillId="0" borderId="0" xfId="0" applyFont="1" applyBorder="1"/>
    <xf numFmtId="0" fontId="49" fillId="0" borderId="0" xfId="0" applyFont="1" applyBorder="1" applyAlignment="1">
      <alignment vertical="top"/>
    </xf>
    <xf numFmtId="0" fontId="0" fillId="0" borderId="16" xfId="0" applyBorder="1" applyAlignment="1">
      <alignment horizontal="center"/>
    </xf>
    <xf numFmtId="0" fontId="33" fillId="0" borderId="39" xfId="0" applyFont="1" applyBorder="1" applyAlignment="1">
      <alignment horizontal="center"/>
    </xf>
    <xf numFmtId="164" fontId="0" fillId="0" borderId="20" xfId="0" applyNumberFormat="1" applyFill="1" applyBorder="1" applyAlignment="1">
      <alignment wrapText="1"/>
    </xf>
    <xf numFmtId="0" fontId="91" fillId="0" borderId="25" xfId="0" applyFont="1" applyBorder="1" applyAlignment="1">
      <alignment vertical="center" wrapText="1"/>
    </xf>
    <xf numFmtId="0" fontId="46" fillId="0" borderId="0" xfId="0" applyFont="1" applyBorder="1" applyAlignment="1">
      <alignment horizontal="center" vertical="center"/>
    </xf>
    <xf numFmtId="0" fontId="0" fillId="0" borderId="0" xfId="0"/>
    <xf numFmtId="0" fontId="0" fillId="0" borderId="16" xfId="0" applyBorder="1" applyAlignment="1">
      <alignment horizontal="center"/>
    </xf>
    <xf numFmtId="0" fontId="0" fillId="0" borderId="21" xfId="0" applyBorder="1" applyAlignment="1">
      <alignment horizontal="center"/>
    </xf>
    <xf numFmtId="164" fontId="0" fillId="0" borderId="16" xfId="0" applyNumberFormat="1" applyBorder="1" applyAlignment="1">
      <alignment horizontal="center"/>
    </xf>
    <xf numFmtId="164" fontId="0" fillId="0" borderId="32" xfId="0" applyNumberFormat="1" applyBorder="1" applyAlignment="1">
      <alignment horizontal="center"/>
    </xf>
    <xf numFmtId="164" fontId="0" fillId="0" borderId="21" xfId="0" applyNumberFormat="1" applyBorder="1" applyAlignment="1">
      <alignment horizontal="center"/>
    </xf>
    <xf numFmtId="164" fontId="0" fillId="0" borderId="33"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0" fontId="92" fillId="0" borderId="0" xfId="0" applyFont="1" applyBorder="1" applyAlignment="1">
      <alignment horizontal="center" vertical="center" wrapText="1"/>
    </xf>
    <xf numFmtId="0" fontId="31" fillId="0" borderId="0" xfId="0" applyFont="1"/>
    <xf numFmtId="164" fontId="0" fillId="0" borderId="0" xfId="0" applyNumberFormat="1" applyFill="1" applyBorder="1" applyAlignment="1">
      <alignment vertical="center" wrapText="1"/>
    </xf>
    <xf numFmtId="164" fontId="0" fillId="0" borderId="88" xfId="0" applyNumberFormat="1" applyBorder="1" applyAlignment="1">
      <alignment horizontal="center"/>
    </xf>
    <xf numFmtId="164" fontId="0" fillId="0" borderId="87" xfId="0" applyNumberFormat="1" applyBorder="1" applyAlignment="1">
      <alignment horizontal="center"/>
    </xf>
    <xf numFmtId="0" fontId="0" fillId="0" borderId="88" xfId="0" applyBorder="1" applyAlignment="1">
      <alignment horizontal="center"/>
    </xf>
    <xf numFmtId="0" fontId="0" fillId="0" borderId="0" xfId="0"/>
    <xf numFmtId="0" fontId="46" fillId="0" borderId="16" xfId="0" applyFont="1" applyBorder="1" applyAlignment="1">
      <alignment horizontal="center"/>
    </xf>
    <xf numFmtId="0" fontId="46" fillId="0" borderId="34" xfId="0" applyFont="1" applyBorder="1" applyAlignment="1">
      <alignment horizontal="center"/>
    </xf>
    <xf numFmtId="0" fontId="46" fillId="0" borderId="9" xfId="0" applyFont="1" applyBorder="1" applyAlignment="1">
      <alignment horizontal="center"/>
    </xf>
    <xf numFmtId="0" fontId="5" fillId="0" borderId="76" xfId="0" applyFont="1" applyBorder="1" applyAlignment="1">
      <alignment vertical="top" wrapText="1"/>
    </xf>
    <xf numFmtId="0" fontId="5" fillId="0" borderId="76" xfId="0" applyFont="1" applyBorder="1" applyAlignment="1">
      <alignment vertical="center" wrapText="1"/>
    </xf>
    <xf numFmtId="0" fontId="46" fillId="0" borderId="16" xfId="0" applyFont="1" applyBorder="1" applyAlignment="1" applyProtection="1">
      <alignment horizontal="center"/>
    </xf>
    <xf numFmtId="0" fontId="0" fillId="0" borderId="16" xfId="0" applyBorder="1" applyAlignment="1">
      <alignment horizontal="center"/>
    </xf>
    <xf numFmtId="164" fontId="0" fillId="0" borderId="0" xfId="0" applyNumberFormat="1"/>
    <xf numFmtId="0" fontId="0" fillId="0" borderId="16" xfId="0" applyBorder="1" applyAlignment="1">
      <alignment horizontal="center"/>
    </xf>
    <xf numFmtId="0" fontId="46" fillId="0" borderId="16" xfId="0" applyFont="1" applyBorder="1" applyAlignment="1">
      <alignment horizontal="center"/>
    </xf>
    <xf numFmtId="2" fontId="46" fillId="0" borderId="16" xfId="0" applyNumberFormat="1" applyFont="1" applyFill="1" applyBorder="1" applyAlignment="1">
      <alignment horizontal="center"/>
    </xf>
    <xf numFmtId="0" fontId="46" fillId="0" borderId="16" xfId="0" applyFont="1" applyFill="1" applyBorder="1" applyAlignment="1">
      <alignment horizontal="center"/>
    </xf>
    <xf numFmtId="0" fontId="0" fillId="0" borderId="0" xfId="0"/>
    <xf numFmtId="0" fontId="33" fillId="0" borderId="19" xfId="0" applyFont="1" applyBorder="1" applyAlignment="1"/>
    <xf numFmtId="0" fontId="0" fillId="0" borderId="0" xfId="0"/>
    <xf numFmtId="164" fontId="0" fillId="0" borderId="16" xfId="0" applyNumberFormat="1" applyBorder="1" applyAlignment="1">
      <alignment horizontal="center"/>
    </xf>
    <xf numFmtId="164" fontId="0" fillId="0" borderId="34" xfId="0" applyNumberFormat="1" applyBorder="1" applyAlignment="1">
      <alignment horizontal="center"/>
    </xf>
    <xf numFmtId="0" fontId="0" fillId="0" borderId="0" xfId="0"/>
    <xf numFmtId="0" fontId="42" fillId="0" borderId="53" xfId="0" applyFont="1" applyBorder="1" applyAlignment="1">
      <alignment vertical="center"/>
    </xf>
    <xf numFmtId="0" fontId="42" fillId="0" borderId="76" xfId="0" applyFont="1" applyBorder="1" applyAlignment="1">
      <alignment vertical="center"/>
    </xf>
    <xf numFmtId="0" fontId="37" fillId="0" borderId="0" xfId="0" applyFont="1" applyAlignment="1">
      <alignment vertical="center"/>
    </xf>
    <xf numFmtId="0" fontId="0" fillId="0" borderId="0" xfId="0"/>
    <xf numFmtId="0" fontId="42" fillId="0" borderId="53" xfId="0" applyFont="1" applyBorder="1" applyAlignment="1">
      <alignment vertical="center"/>
    </xf>
    <xf numFmtId="0" fontId="1" fillId="0" borderId="0" xfId="0" applyFont="1" applyBorder="1" applyAlignment="1">
      <alignment horizontal="left"/>
    </xf>
    <xf numFmtId="0" fontId="0" fillId="0" borderId="0" xfId="0" applyFont="1" applyBorder="1" applyAlignment="1">
      <alignment horizontal="left" vertical="top" wrapText="1"/>
    </xf>
    <xf numFmtId="0" fontId="1" fillId="0" borderId="0" xfId="0" applyFont="1" applyBorder="1" applyAlignment="1">
      <alignment horizontal="left" vertical="top" wrapText="1"/>
    </xf>
    <xf numFmtId="0" fontId="42" fillId="0" borderId="49" xfId="0" applyFont="1" applyBorder="1" applyAlignment="1">
      <alignment vertical="center" wrapText="1"/>
    </xf>
    <xf numFmtId="0" fontId="0" fillId="0" borderId="0" xfId="0" applyAlignment="1"/>
    <xf numFmtId="0" fontId="0" fillId="0" borderId="0" xfId="0"/>
    <xf numFmtId="164" fontId="0" fillId="0" borderId="16" xfId="0" applyNumberFormat="1" applyBorder="1" applyAlignment="1">
      <alignment horizontal="center"/>
    </xf>
    <xf numFmtId="164" fontId="0" fillId="0" borderId="32" xfId="0" applyNumberFormat="1" applyBorder="1" applyAlignment="1">
      <alignment horizontal="center"/>
    </xf>
    <xf numFmtId="1" fontId="0" fillId="0" borderId="33" xfId="0" applyNumberFormat="1" applyBorder="1" applyAlignment="1">
      <alignment horizontal="center"/>
    </xf>
    <xf numFmtId="164" fontId="37" fillId="0" borderId="0" xfId="0" applyNumberFormat="1" applyFont="1" applyAlignment="1">
      <alignment horizontal="center"/>
    </xf>
    <xf numFmtId="0" fontId="0" fillId="0" borderId="0" xfId="0"/>
    <xf numFmtId="0" fontId="0" fillId="0" borderId="0" xfId="0" applyFont="1" applyAlignment="1">
      <alignment wrapText="1"/>
    </xf>
    <xf numFmtId="0" fontId="0" fillId="0" borderId="0" xfId="0"/>
    <xf numFmtId="0" fontId="0" fillId="0" borderId="20" xfId="0" applyBorder="1" applyAlignment="1">
      <alignment horizontal="left"/>
    </xf>
    <xf numFmtId="0" fontId="0" fillId="0" borderId="0" xfId="0" applyBorder="1" applyAlignment="1">
      <alignment horizontal="left"/>
    </xf>
    <xf numFmtId="0" fontId="69" fillId="0" borderId="0" xfId="0" applyFont="1" applyBorder="1" applyAlignment="1">
      <alignment horizontal="left"/>
    </xf>
    <xf numFmtId="0" fontId="0" fillId="0" borderId="0" xfId="0"/>
    <xf numFmtId="0" fontId="1" fillId="0" borderId="21" xfId="0" applyFont="1" applyBorder="1" applyAlignment="1">
      <alignment horizontal="left"/>
    </xf>
    <xf numFmtId="0" fontId="1" fillId="0" borderId="16" xfId="0" applyFont="1" applyBorder="1" applyAlignment="1">
      <alignment horizontal="left"/>
    </xf>
    <xf numFmtId="0" fontId="15" fillId="0" borderId="0" xfId="0" applyFont="1" applyBorder="1" applyAlignment="1">
      <alignment horizontal="center" vertical="top" wrapText="1"/>
    </xf>
    <xf numFmtId="164" fontId="0" fillId="0" borderId="16" xfId="0" applyNumberFormat="1" applyBorder="1" applyAlignment="1">
      <alignment horizontal="center"/>
    </xf>
    <xf numFmtId="164" fontId="0" fillId="0" borderId="32" xfId="0" applyNumberFormat="1" applyBorder="1" applyAlignment="1">
      <alignment horizontal="center"/>
    </xf>
    <xf numFmtId="164" fontId="0" fillId="0" borderId="0" xfId="0" applyNumberFormat="1" applyBorder="1" applyAlignment="1">
      <alignment horizontal="center"/>
    </xf>
    <xf numFmtId="0" fontId="1" fillId="0" borderId="22" xfId="0" applyFont="1" applyBorder="1" applyAlignment="1">
      <alignment horizontal="left"/>
    </xf>
    <xf numFmtId="0" fontId="1" fillId="0" borderId="12" xfId="0" applyFont="1" applyBorder="1" applyAlignment="1">
      <alignment horizontal="left"/>
    </xf>
    <xf numFmtId="0" fontId="5" fillId="0" borderId="76" xfId="0" applyFont="1" applyFill="1" applyBorder="1" applyAlignment="1">
      <alignment vertical="center" wrapText="1"/>
    </xf>
    <xf numFmtId="0" fontId="0" fillId="0" borderId="0" xfId="0" applyProtection="1">
      <protection locked="0"/>
    </xf>
    <xf numFmtId="0" fontId="0" fillId="0" borderId="0" xfId="0"/>
    <xf numFmtId="0" fontId="1" fillId="0" borderId="0" xfId="0" applyFont="1" applyAlignment="1">
      <alignment horizontal="center"/>
    </xf>
    <xf numFmtId="0" fontId="1" fillId="0" borderId="0" xfId="0" applyFont="1" applyAlignment="1">
      <alignment vertical="center"/>
    </xf>
    <xf numFmtId="0" fontId="15" fillId="0" borderId="0" xfId="0" applyFont="1" applyAlignment="1">
      <alignment horizontal="center"/>
    </xf>
    <xf numFmtId="2" fontId="0" fillId="0" borderId="0" xfId="0" applyNumberFormat="1" applyAlignment="1">
      <alignment horizontal="center"/>
    </xf>
    <xf numFmtId="2" fontId="0" fillId="6" borderId="0" xfId="0" applyNumberFormat="1" applyFill="1" applyProtection="1">
      <protection hidden="1"/>
    </xf>
    <xf numFmtId="165" fontId="0" fillId="0" borderId="0" xfId="0" applyNumberFormat="1" applyBorder="1"/>
    <xf numFmtId="0" fontId="0" fillId="0" borderId="16" xfId="0" applyBorder="1" applyAlignment="1">
      <alignment horizontal="center"/>
    </xf>
    <xf numFmtId="0" fontId="0" fillId="0" borderId="0" xfId="0"/>
    <xf numFmtId="0" fontId="0" fillId="0" borderId="16" xfId="0" applyBorder="1" applyAlignment="1">
      <alignment horizontal="center"/>
    </xf>
    <xf numFmtId="0" fontId="0" fillId="0" borderId="32" xfId="0" applyBorder="1" applyAlignment="1">
      <alignment horizontal="center"/>
    </xf>
    <xf numFmtId="0" fontId="0" fillId="0" borderId="0" xfId="0"/>
    <xf numFmtId="0" fontId="0" fillId="0" borderId="0" xfId="0" applyBorder="1" applyAlignment="1">
      <alignment horizontal="left"/>
    </xf>
    <xf numFmtId="0" fontId="46" fillId="0" borderId="0" xfId="0" applyFont="1" applyBorder="1" applyAlignment="1">
      <alignment vertical="center"/>
    </xf>
    <xf numFmtId="0" fontId="0" fillId="0" borderId="0" xfId="0"/>
    <xf numFmtId="0" fontId="97" fillId="0" borderId="19" xfId="0" applyFont="1" applyBorder="1" applyAlignment="1">
      <alignment horizontal="center" vertical="center"/>
    </xf>
    <xf numFmtId="0" fontId="46" fillId="0" borderId="0" xfId="0" applyFont="1" applyAlignment="1">
      <alignment vertical="center"/>
    </xf>
    <xf numFmtId="0" fontId="0" fillId="0" borderId="0" xfId="0"/>
    <xf numFmtId="0" fontId="0" fillId="0" borderId="20" xfId="0" applyBorder="1" applyAlignment="1">
      <alignment horizontal="left"/>
    </xf>
    <xf numFmtId="0" fontId="0" fillId="0" borderId="0" xfId="0" applyBorder="1" applyAlignment="1">
      <alignment horizontal="left"/>
    </xf>
    <xf numFmtId="0" fontId="0" fillId="0" borderId="16" xfId="0" applyBorder="1" applyAlignment="1">
      <alignment horizontal="center"/>
    </xf>
    <xf numFmtId="0" fontId="0" fillId="0" borderId="0" xfId="0"/>
    <xf numFmtId="0" fontId="0" fillId="0" borderId="0" xfId="0"/>
    <xf numFmtId="0" fontId="0" fillId="0" borderId="0" xfId="0" applyAlignment="1">
      <alignment horizontal="left"/>
    </xf>
    <xf numFmtId="0" fontId="0" fillId="0" borderId="20" xfId="0" applyBorder="1" applyAlignment="1">
      <alignment horizontal="left"/>
    </xf>
    <xf numFmtId="0" fontId="0" fillId="0" borderId="0" xfId="0" applyBorder="1" applyAlignment="1">
      <alignment horizontal="left"/>
    </xf>
    <xf numFmtId="0" fontId="0" fillId="0" borderId="0" xfId="0"/>
    <xf numFmtId="0" fontId="0" fillId="0" borderId="16" xfId="0" applyBorder="1" applyAlignment="1" applyProtection="1">
      <alignment horizontal="center"/>
      <protection locked="0"/>
    </xf>
    <xf numFmtId="0" fontId="21" fillId="0" borderId="0" xfId="0" applyFont="1"/>
    <xf numFmtId="0" fontId="0" fillId="0" borderId="0" xfId="0"/>
    <xf numFmtId="0" fontId="0" fillId="0" borderId="0" xfId="0" applyBorder="1" applyAlignment="1">
      <alignment horizontal="left" vertical="center"/>
    </xf>
    <xf numFmtId="0" fontId="1" fillId="0" borderId="14" xfId="0" applyFont="1" applyBorder="1" applyAlignment="1"/>
    <xf numFmtId="0" fontId="1" fillId="0" borderId="14" xfId="0" applyFont="1" applyBorder="1" applyAlignment="1">
      <alignment horizontal="left"/>
    </xf>
    <xf numFmtId="0" fontId="1" fillId="0" borderId="0" xfId="0" applyFont="1" applyBorder="1" applyAlignment="1">
      <alignment horizontal="left" vertical="center"/>
    </xf>
    <xf numFmtId="0" fontId="0" fillId="0" borderId="16" xfId="0" applyBorder="1" applyAlignment="1" applyProtection="1">
      <alignment horizontal="center"/>
    </xf>
    <xf numFmtId="0" fontId="0" fillId="0" borderId="0" xfId="0"/>
    <xf numFmtId="0" fontId="0" fillId="0" borderId="0" xfId="0"/>
    <xf numFmtId="0" fontId="0" fillId="0" borderId="0" xfId="0"/>
    <xf numFmtId="0" fontId="0" fillId="0" borderId="0" xfId="0" applyFill="1" applyBorder="1" applyAlignment="1">
      <alignment horizontal="center"/>
    </xf>
    <xf numFmtId="0" fontId="0" fillId="0" borderId="0" xfId="0"/>
    <xf numFmtId="0" fontId="46" fillId="0" borderId="66" xfId="0" applyFont="1" applyBorder="1" applyAlignment="1"/>
    <xf numFmtId="0" fontId="46" fillId="0" borderId="11" xfId="0" applyFont="1" applyBorder="1" applyAlignment="1"/>
    <xf numFmtId="0" fontId="46" fillId="0" borderId="65" xfId="0" applyFont="1" applyBorder="1" applyAlignment="1"/>
    <xf numFmtId="0" fontId="46" fillId="0" borderId="63" xfId="0" applyFont="1" applyBorder="1" applyAlignment="1"/>
    <xf numFmtId="0" fontId="37" fillId="0" borderId="20" xfId="0" applyFont="1" applyBorder="1" applyAlignment="1">
      <alignment horizontal="left"/>
    </xf>
    <xf numFmtId="0" fontId="21" fillId="0" borderId="16" xfId="0" applyFont="1" applyFill="1" applyBorder="1" applyAlignment="1">
      <alignment horizontal="center" vertical="center" wrapText="1"/>
    </xf>
    <xf numFmtId="164" fontId="37" fillId="0" borderId="16" xfId="0" applyNumberFormat="1" applyFont="1" applyFill="1" applyBorder="1" applyAlignment="1">
      <alignment horizontal="center"/>
    </xf>
    <xf numFmtId="0" fontId="79" fillId="0" borderId="16" xfId="0" applyFont="1" applyFill="1" applyBorder="1" applyAlignment="1">
      <alignment horizontal="center" vertical="center" wrapText="1"/>
    </xf>
    <xf numFmtId="164" fontId="49" fillId="0" borderId="16" xfId="0" applyNumberFormat="1" applyFont="1" applyFill="1" applyBorder="1" applyAlignment="1">
      <alignment horizontal="center"/>
    </xf>
    <xf numFmtId="0" fontId="37" fillId="0" borderId="0" xfId="0" applyFont="1" applyBorder="1"/>
    <xf numFmtId="0" fontId="0" fillId="0" borderId="0" xfId="0"/>
    <xf numFmtId="0" fontId="0" fillId="0" borderId="0" xfId="0"/>
    <xf numFmtId="0" fontId="0" fillId="0" borderId="16" xfId="0" applyBorder="1" applyAlignment="1">
      <alignment horizontal="center"/>
    </xf>
    <xf numFmtId="0" fontId="0" fillId="0" borderId="0" xfId="0"/>
    <xf numFmtId="0" fontId="0" fillId="0" borderId="16" xfId="0" applyBorder="1"/>
    <xf numFmtId="0" fontId="0" fillId="0" borderId="0" xfId="0"/>
    <xf numFmtId="0" fontId="42" fillId="0" borderId="53" xfId="0" applyFont="1" applyBorder="1" applyAlignment="1">
      <alignment vertical="center" wrapText="1"/>
    </xf>
    <xf numFmtId="0" fontId="37" fillId="0" borderId="0" xfId="0" applyFont="1" applyBorder="1" applyAlignment="1">
      <alignment horizontal="left" vertical="top"/>
    </xf>
    <xf numFmtId="0" fontId="37" fillId="0" borderId="20" xfId="0" applyFont="1" applyBorder="1" applyAlignment="1">
      <alignment horizontal="left" vertical="top"/>
    </xf>
    <xf numFmtId="0" fontId="0" fillId="0" borderId="0" xfId="0"/>
    <xf numFmtId="0" fontId="0" fillId="0" borderId="0" xfId="0"/>
    <xf numFmtId="164" fontId="46" fillId="0" borderId="16" xfId="0" applyNumberFormat="1" applyFont="1" applyBorder="1" applyAlignment="1">
      <alignment horizontal="center"/>
    </xf>
    <xf numFmtId="164" fontId="46" fillId="0" borderId="34" xfId="0" applyNumberFormat="1" applyFont="1" applyBorder="1" applyAlignment="1">
      <alignment horizontal="center"/>
    </xf>
    <xf numFmtId="0" fontId="33" fillId="0" borderId="86" xfId="0" applyFont="1" applyBorder="1" applyAlignment="1">
      <alignment horizontal="center"/>
    </xf>
    <xf numFmtId="0" fontId="5" fillId="0" borderId="0" xfId="0" applyFont="1" applyBorder="1" applyAlignment="1">
      <alignment wrapText="1"/>
    </xf>
    <xf numFmtId="0" fontId="5" fillId="0" borderId="20" xfId="0" applyFont="1" applyBorder="1" applyAlignment="1">
      <alignment wrapText="1"/>
    </xf>
    <xf numFmtId="164" fontId="46" fillId="0" borderId="9" xfId="0" applyNumberFormat="1" applyFont="1" applyBorder="1" applyAlignment="1">
      <alignment horizontal="center"/>
    </xf>
    <xf numFmtId="164" fontId="46" fillId="0" borderId="91" xfId="0" applyNumberFormat="1" applyFont="1" applyBorder="1" applyAlignment="1">
      <alignment horizontal="center"/>
    </xf>
    <xf numFmtId="0" fontId="0" fillId="0" borderId="0" xfId="0" applyBorder="1" applyAlignment="1">
      <alignment wrapText="1"/>
    </xf>
    <xf numFmtId="0" fontId="46" fillId="0" borderId="17" xfId="0" applyFont="1" applyBorder="1" applyAlignment="1">
      <alignment horizontal="center"/>
    </xf>
    <xf numFmtId="0" fontId="46" fillId="0" borderId="57" xfId="0" applyFont="1" applyBorder="1" applyAlignment="1">
      <alignment horizontal="center"/>
    </xf>
    <xf numFmtId="164" fontId="46" fillId="0" borderId="6" xfId="0" applyNumberFormat="1" applyFont="1" applyBorder="1" applyAlignment="1">
      <alignment horizontal="center"/>
    </xf>
    <xf numFmtId="0" fontId="46" fillId="0" borderId="94" xfId="0" applyFont="1" applyBorder="1" applyAlignment="1"/>
    <xf numFmtId="0" fontId="46" fillId="0" borderId="8" xfId="0" applyFont="1" applyBorder="1" applyAlignment="1"/>
    <xf numFmtId="165" fontId="46" fillId="0" borderId="6" xfId="0" applyNumberFormat="1" applyFont="1" applyBorder="1" applyAlignment="1">
      <alignment horizontal="center"/>
    </xf>
    <xf numFmtId="0" fontId="0" fillId="0" borderId="0" xfId="0" applyBorder="1" applyAlignment="1">
      <alignment horizontal="center" wrapText="1"/>
    </xf>
    <xf numFmtId="0" fontId="33" fillId="0" borderId="86" xfId="0" applyFont="1" applyBorder="1" applyAlignment="1">
      <alignment horizontal="center"/>
    </xf>
    <xf numFmtId="0" fontId="0" fillId="0" borderId="0" xfId="0" applyBorder="1" applyAlignment="1">
      <alignment horizontal="center"/>
    </xf>
    <xf numFmtId="2" fontId="21" fillId="0" borderId="0" xfId="0" applyNumberFormat="1" applyFont="1" applyFill="1" applyBorder="1" applyAlignment="1">
      <alignment horizontal="left"/>
    </xf>
    <xf numFmtId="0" fontId="5" fillId="0" borderId="0" xfId="0" applyFont="1" applyFill="1" applyBorder="1" applyAlignment="1">
      <alignment vertical="center" wrapText="1"/>
    </xf>
    <xf numFmtId="0" fontId="45" fillId="0" borderId="96" xfId="0" applyFont="1" applyBorder="1" applyAlignment="1"/>
    <xf numFmtId="0" fontId="45" fillId="0" borderId="86" xfId="0" applyFont="1" applyBorder="1" applyAlignment="1"/>
    <xf numFmtId="0" fontId="33" fillId="18" borderId="86" xfId="0" applyFont="1" applyFill="1" applyBorder="1" applyAlignment="1">
      <alignment horizontal="center"/>
    </xf>
    <xf numFmtId="0" fontId="33" fillId="18" borderId="89" xfId="0" applyFont="1" applyFill="1" applyBorder="1" applyAlignment="1">
      <alignment horizontal="center"/>
    </xf>
    <xf numFmtId="0" fontId="33" fillId="0" borderId="86" xfId="0" applyFont="1" applyFill="1" applyBorder="1" applyAlignment="1">
      <alignment horizontal="center"/>
    </xf>
    <xf numFmtId="0" fontId="94" fillId="0" borderId="99" xfId="0" applyFont="1" applyBorder="1" applyAlignment="1">
      <alignment horizontal="center"/>
    </xf>
    <xf numFmtId="0" fontId="94" fillId="0" borderId="100" xfId="0" applyFont="1" applyBorder="1" applyAlignment="1"/>
    <xf numFmtId="0" fontId="29" fillId="0" borderId="0" xfId="0" applyFont="1" applyFill="1" applyBorder="1" applyAlignment="1">
      <alignment vertical="center" wrapText="1"/>
    </xf>
    <xf numFmtId="164" fontId="57" fillId="0" borderId="9" xfId="0" applyNumberFormat="1" applyFont="1" applyBorder="1" applyAlignment="1">
      <alignment horizontal="center"/>
    </xf>
    <xf numFmtId="165" fontId="57" fillId="0" borderId="9" xfId="0" applyNumberFormat="1" applyFont="1" applyBorder="1" applyAlignment="1">
      <alignment horizontal="center" vertical="center"/>
    </xf>
    <xf numFmtId="1" fontId="57" fillId="0" borderId="9" xfId="0" applyNumberFormat="1" applyFont="1" applyBorder="1" applyAlignment="1">
      <alignment horizontal="center" vertical="center"/>
    </xf>
    <xf numFmtId="2" fontId="57" fillId="0" borderId="9" xfId="0" applyNumberFormat="1" applyFont="1" applyBorder="1" applyAlignment="1">
      <alignment horizontal="center" vertical="center"/>
    </xf>
    <xf numFmtId="164" fontId="57" fillId="0" borderId="9" xfId="0" applyNumberFormat="1" applyFont="1" applyBorder="1" applyAlignment="1">
      <alignment horizontal="center" vertical="center"/>
    </xf>
    <xf numFmtId="164" fontId="57" fillId="0" borderId="91" xfId="0" applyNumberFormat="1" applyFont="1" applyBorder="1" applyAlignment="1">
      <alignment horizontal="center" vertical="center"/>
    </xf>
    <xf numFmtId="1" fontId="57" fillId="0" borderId="9" xfId="0" applyNumberFormat="1" applyFont="1" applyBorder="1" applyAlignment="1">
      <alignment horizontal="center"/>
    </xf>
    <xf numFmtId="0" fontId="101" fillId="19" borderId="15" xfId="0" applyFont="1" applyFill="1" applyBorder="1" applyAlignment="1">
      <alignment horizontal="center" vertical="center" wrapText="1"/>
    </xf>
    <xf numFmtId="164" fontId="46" fillId="19" borderId="17" xfId="0" applyNumberFormat="1" applyFont="1" applyFill="1" applyBorder="1" applyAlignment="1">
      <alignment horizontal="center"/>
    </xf>
    <xf numFmtId="164" fontId="46" fillId="19" borderId="95" xfId="0" applyNumberFormat="1" applyFont="1" applyFill="1" applyBorder="1" applyAlignment="1">
      <alignment horizontal="center"/>
    </xf>
    <xf numFmtId="164" fontId="46" fillId="19" borderId="16" xfId="0" applyNumberFormat="1" applyFont="1" applyFill="1" applyBorder="1" applyAlignment="1">
      <alignment horizontal="center"/>
    </xf>
    <xf numFmtId="164" fontId="46" fillId="19" borderId="61" xfId="0" applyNumberFormat="1" applyFont="1" applyFill="1" applyBorder="1" applyAlignment="1">
      <alignment horizontal="center"/>
    </xf>
    <xf numFmtId="0" fontId="46" fillId="19" borderId="16" xfId="0" applyFont="1" applyFill="1" applyBorder="1" applyAlignment="1">
      <alignment horizontal="center"/>
    </xf>
    <xf numFmtId="0" fontId="46" fillId="19" borderId="61" xfId="0" applyFont="1" applyFill="1" applyBorder="1" applyAlignment="1">
      <alignment horizontal="center"/>
    </xf>
    <xf numFmtId="0" fontId="46" fillId="19" borderId="16" xfId="0" applyFont="1" applyFill="1" applyBorder="1"/>
    <xf numFmtId="0" fontId="46" fillId="19" borderId="61" xfId="0" applyFont="1" applyFill="1" applyBorder="1"/>
    <xf numFmtId="1" fontId="46" fillId="19" borderId="16" xfId="0" applyNumberFormat="1" applyFont="1" applyFill="1" applyBorder="1" applyAlignment="1">
      <alignment horizontal="center"/>
    </xf>
    <xf numFmtId="1" fontId="46" fillId="19" borderId="61" xfId="0" applyNumberFormat="1" applyFont="1" applyFill="1" applyBorder="1" applyAlignment="1">
      <alignment horizontal="center"/>
    </xf>
    <xf numFmtId="0" fontId="33" fillId="19" borderId="93" xfId="0" applyFont="1" applyFill="1" applyBorder="1" applyAlignment="1">
      <alignment wrapText="1"/>
    </xf>
    <xf numFmtId="0" fontId="33" fillId="19" borderId="62" xfId="0" applyFont="1" applyFill="1" applyBorder="1" applyAlignment="1">
      <alignment wrapText="1"/>
    </xf>
    <xf numFmtId="0" fontId="46" fillId="19" borderId="17" xfId="0" applyFont="1" applyFill="1" applyBorder="1" applyAlignment="1">
      <alignment horizontal="center"/>
    </xf>
    <xf numFmtId="0" fontId="46" fillId="19" borderId="95" xfId="0" applyFont="1" applyFill="1" applyBorder="1" applyAlignment="1">
      <alignment horizontal="center"/>
    </xf>
    <xf numFmtId="165" fontId="46" fillId="19" borderId="16" xfId="0" applyNumberFormat="1" applyFont="1" applyFill="1" applyBorder="1" applyAlignment="1">
      <alignment horizontal="center"/>
    </xf>
    <xf numFmtId="165" fontId="46" fillId="19" borderId="61" xfId="0" applyNumberFormat="1" applyFont="1" applyFill="1" applyBorder="1" applyAlignment="1">
      <alignment horizontal="center"/>
    </xf>
    <xf numFmtId="164" fontId="33" fillId="19" borderId="93" xfId="0" applyNumberFormat="1" applyFont="1" applyFill="1" applyBorder="1" applyAlignment="1">
      <alignment horizontal="center" wrapText="1"/>
    </xf>
    <xf numFmtId="0" fontId="37" fillId="0" borderId="2" xfId="0" applyFont="1" applyBorder="1" applyAlignment="1">
      <alignment vertical="top"/>
    </xf>
    <xf numFmtId="0" fontId="37" fillId="0" borderId="0" xfId="0" applyFont="1" applyBorder="1" applyAlignment="1">
      <alignment vertical="top"/>
    </xf>
    <xf numFmtId="0" fontId="33" fillId="0" borderId="72" xfId="0" applyFont="1" applyFill="1" applyBorder="1" applyAlignment="1">
      <alignment horizontal="center"/>
    </xf>
    <xf numFmtId="0" fontId="0" fillId="0" borderId="0" xfId="0"/>
    <xf numFmtId="0" fontId="37" fillId="0" borderId="0" xfId="0" applyFont="1" applyBorder="1" applyAlignment="1">
      <alignment horizontal="left" vertical="top"/>
    </xf>
    <xf numFmtId="0" fontId="21" fillId="0" borderId="0" xfId="0" applyFont="1" applyBorder="1" applyAlignment="1"/>
    <xf numFmtId="0" fontId="29" fillId="0" borderId="0" xfId="0" applyFont="1" applyFill="1" applyBorder="1" applyAlignment="1">
      <alignment horizontal="center" vertical="center" wrapText="1"/>
    </xf>
    <xf numFmtId="0" fontId="101" fillId="19" borderId="0" xfId="0" applyFont="1" applyFill="1" applyBorder="1" applyAlignment="1">
      <alignment horizontal="center" vertical="top" wrapText="1"/>
    </xf>
    <xf numFmtId="0" fontId="101" fillId="6" borderId="0" xfId="0" applyFont="1" applyFill="1" applyBorder="1" applyAlignment="1">
      <alignment horizontal="center" vertical="center" wrapText="1"/>
    </xf>
    <xf numFmtId="0" fontId="99" fillId="0" borderId="0" xfId="0" applyFont="1" applyBorder="1" applyAlignment="1">
      <alignment vertical="top"/>
    </xf>
    <xf numFmtId="1" fontId="46" fillId="19" borderId="95" xfId="0" applyNumberFormat="1" applyFont="1" applyFill="1" applyBorder="1" applyAlignment="1">
      <alignment horizontal="center"/>
    </xf>
    <xf numFmtId="0" fontId="21" fillId="0" borderId="19" xfId="0" applyFont="1" applyBorder="1" applyAlignment="1"/>
    <xf numFmtId="0" fontId="0" fillId="0" borderId="0" xfId="0" applyAlignment="1">
      <alignment vertical="center"/>
    </xf>
    <xf numFmtId="0" fontId="0" fillId="0" borderId="0" xfId="0" applyBorder="1"/>
    <xf numFmtId="0" fontId="1" fillId="0" borderId="0" xfId="0" applyFont="1" applyBorder="1" applyAlignment="1"/>
    <xf numFmtId="164" fontId="46" fillId="19" borderId="17" xfId="0" applyNumberFormat="1" applyFont="1" applyFill="1" applyBorder="1" applyAlignment="1">
      <alignment horizontal="center"/>
    </xf>
    <xf numFmtId="164" fontId="46" fillId="19" borderId="95" xfId="0" applyNumberFormat="1" applyFont="1" applyFill="1" applyBorder="1" applyAlignment="1">
      <alignment horizontal="center"/>
    </xf>
    <xf numFmtId="164" fontId="46" fillId="19" borderId="16" xfId="0" applyNumberFormat="1" applyFont="1" applyFill="1" applyBorder="1" applyAlignment="1">
      <alignment horizontal="center"/>
    </xf>
    <xf numFmtId="164" fontId="46" fillId="19" borderId="61" xfId="0" applyNumberFormat="1" applyFont="1" applyFill="1" applyBorder="1" applyAlignment="1">
      <alignment horizontal="center"/>
    </xf>
    <xf numFmtId="0" fontId="46" fillId="19" borderId="16" xfId="0" applyFont="1" applyFill="1" applyBorder="1"/>
    <xf numFmtId="1" fontId="46" fillId="19" borderId="16" xfId="0" applyNumberFormat="1" applyFont="1" applyFill="1" applyBorder="1" applyAlignment="1">
      <alignment horizontal="center"/>
    </xf>
    <xf numFmtId="1" fontId="46" fillId="19" borderId="61" xfId="0" applyNumberFormat="1" applyFont="1" applyFill="1" applyBorder="1" applyAlignment="1">
      <alignment horizontal="center"/>
    </xf>
    <xf numFmtId="0" fontId="67" fillId="0" borderId="0" xfId="0" applyFont="1" applyAlignment="1">
      <alignment horizontal="left" vertical="center" indent="5"/>
    </xf>
    <xf numFmtId="164" fontId="46" fillId="19" borderId="17" xfId="0" applyNumberFormat="1" applyFont="1" applyFill="1" applyBorder="1" applyAlignment="1">
      <alignment horizontal="center"/>
    </xf>
    <xf numFmtId="164" fontId="46" fillId="19" borderId="95" xfId="0" applyNumberFormat="1" applyFont="1" applyFill="1" applyBorder="1" applyAlignment="1">
      <alignment horizontal="center"/>
    </xf>
    <xf numFmtId="164" fontId="46" fillId="19" borderId="16" xfId="0" applyNumberFormat="1" applyFont="1" applyFill="1" applyBorder="1" applyAlignment="1">
      <alignment horizontal="center"/>
    </xf>
    <xf numFmtId="164" fontId="46" fillId="19" borderId="61" xfId="0" applyNumberFormat="1" applyFont="1" applyFill="1" applyBorder="1" applyAlignment="1">
      <alignment horizontal="center"/>
    </xf>
    <xf numFmtId="1" fontId="46" fillId="19" borderId="16" xfId="0" applyNumberFormat="1" applyFont="1" applyFill="1" applyBorder="1" applyAlignment="1">
      <alignment horizontal="center"/>
    </xf>
    <xf numFmtId="1" fontId="46" fillId="19" borderId="61" xfId="0" applyNumberFormat="1" applyFont="1" applyFill="1" applyBorder="1" applyAlignment="1">
      <alignment horizontal="center"/>
    </xf>
    <xf numFmtId="0" fontId="79" fillId="0" borderId="0" xfId="0" applyFont="1" applyBorder="1" applyAlignment="1">
      <alignment horizontal="center"/>
    </xf>
    <xf numFmtId="0" fontId="91" fillId="0" borderId="76" xfId="0" applyFont="1" applyBorder="1" applyAlignment="1">
      <alignment vertical="center" wrapText="1"/>
    </xf>
    <xf numFmtId="0" fontId="91" fillId="0" borderId="54" xfId="0" applyFont="1" applyBorder="1" applyAlignment="1">
      <alignment vertical="top" wrapText="1"/>
    </xf>
    <xf numFmtId="0" fontId="108" fillId="0" borderId="0" xfId="0" applyFont="1" applyBorder="1" applyAlignment="1">
      <alignment vertical="top"/>
    </xf>
    <xf numFmtId="0" fontId="1" fillId="4" borderId="0" xfId="0" applyFont="1" applyFill="1" applyAlignment="1">
      <alignment vertical="center"/>
    </xf>
    <xf numFmtId="0" fontId="1" fillId="4" borderId="0" xfId="0" applyFont="1" applyFill="1" applyBorder="1" applyAlignment="1"/>
    <xf numFmtId="0" fontId="67" fillId="0" borderId="0" xfId="0" applyFont="1" applyBorder="1" applyAlignment="1">
      <alignment horizontal="left" vertical="center" indent="5"/>
    </xf>
    <xf numFmtId="1" fontId="0" fillId="0" borderId="15" xfId="0" applyNumberFormat="1" applyBorder="1" applyAlignment="1">
      <alignment horizontal="center"/>
    </xf>
    <xf numFmtId="0" fontId="1" fillId="0" borderId="15" xfId="0" applyFont="1" applyBorder="1" applyAlignment="1">
      <alignment horizontal="left" vertical="top" wrapText="1"/>
    </xf>
    <xf numFmtId="0" fontId="0" fillId="0" borderId="15" xfId="0" applyBorder="1" applyAlignment="1"/>
    <xf numFmtId="0" fontId="0" fillId="9" borderId="0" xfId="0" applyFill="1" applyBorder="1" applyAlignment="1"/>
    <xf numFmtId="0" fontId="16" fillId="0" borderId="16" xfId="0" applyFont="1" applyBorder="1" applyAlignment="1" applyProtection="1">
      <alignment horizontal="center" wrapText="1"/>
    </xf>
    <xf numFmtId="0" fontId="16" fillId="0" borderId="16" xfId="0" applyFont="1" applyBorder="1" applyAlignment="1" applyProtection="1">
      <alignment horizontal="center"/>
    </xf>
    <xf numFmtId="0" fontId="16" fillId="0" borderId="9" xfId="0" applyFont="1" applyBorder="1" applyAlignment="1" applyProtection="1">
      <alignment horizontal="center"/>
    </xf>
    <xf numFmtId="0" fontId="98" fillId="6" borderId="16" xfId="0" applyFont="1" applyFill="1" applyBorder="1" applyAlignment="1" applyProtection="1">
      <alignment horizontal="center" vertical="center"/>
    </xf>
    <xf numFmtId="2" fontId="98" fillId="0" borderId="16" xfId="0" applyNumberFormat="1" applyFont="1" applyBorder="1" applyAlignment="1" applyProtection="1">
      <alignment horizontal="center" vertical="center"/>
    </xf>
    <xf numFmtId="0" fontId="98" fillId="0" borderId="16" xfId="0" applyFont="1" applyBorder="1" applyAlignment="1" applyProtection="1">
      <alignment horizontal="center" vertical="center"/>
    </xf>
    <xf numFmtId="0" fontId="0" fillId="0" borderId="16" xfId="0" applyBorder="1" applyAlignment="1">
      <alignment horizontal="center"/>
    </xf>
    <xf numFmtId="0" fontId="0" fillId="0" borderId="0" xfId="0"/>
    <xf numFmtId="164" fontId="46" fillId="0" borderId="16" xfId="0" applyNumberFormat="1" applyFont="1" applyBorder="1" applyAlignment="1">
      <alignment horizontal="center"/>
    </xf>
    <xf numFmtId="0" fontId="0" fillId="0" borderId="0" xfId="0"/>
    <xf numFmtId="0" fontId="0" fillId="0" borderId="0" xfId="0" applyAlignment="1">
      <alignment horizontal="left"/>
    </xf>
    <xf numFmtId="0" fontId="5" fillId="0" borderId="0" xfId="0" applyFont="1" applyBorder="1" applyAlignment="1">
      <alignment horizontal="left" vertical="center" wrapText="1"/>
    </xf>
    <xf numFmtId="0" fontId="15" fillId="11" borderId="4" xfId="0" applyFont="1" applyFill="1" applyBorder="1" applyAlignment="1">
      <alignment horizontal="left" wrapText="1"/>
    </xf>
    <xf numFmtId="0" fontId="15" fillId="11" borderId="0" xfId="0" applyFont="1" applyFill="1" applyBorder="1" applyAlignment="1">
      <alignment horizontal="left" wrapText="1"/>
    </xf>
    <xf numFmtId="0" fontId="15" fillId="11" borderId="5" xfId="0" applyFont="1" applyFill="1" applyBorder="1" applyAlignment="1">
      <alignment horizontal="left" wrapText="1"/>
    </xf>
    <xf numFmtId="0" fontId="0" fillId="11" borderId="4" xfId="0" applyFill="1" applyBorder="1" applyAlignment="1">
      <alignment horizontal="left" vertical="top" wrapText="1"/>
    </xf>
    <xf numFmtId="0" fontId="0" fillId="11" borderId="0" xfId="0" applyFill="1" applyBorder="1" applyAlignment="1">
      <alignment horizontal="left" vertical="top" wrapText="1"/>
    </xf>
    <xf numFmtId="0" fontId="0" fillId="11" borderId="5" xfId="0" applyFill="1" applyBorder="1" applyAlignment="1">
      <alignment horizontal="left" vertical="top" wrapText="1"/>
    </xf>
    <xf numFmtId="0" fontId="0" fillId="11" borderId="6" xfId="0" applyFill="1" applyBorder="1" applyAlignment="1">
      <alignment horizontal="left" vertical="top" wrapText="1"/>
    </xf>
    <xf numFmtId="0" fontId="0" fillId="11" borderId="7" xfId="0" applyFill="1" applyBorder="1" applyAlignment="1">
      <alignment horizontal="left" vertical="top" wrapText="1"/>
    </xf>
    <xf numFmtId="0" fontId="0" fillId="11" borderId="8" xfId="0" applyFill="1" applyBorder="1" applyAlignment="1">
      <alignment horizontal="left" vertical="top" wrapText="1"/>
    </xf>
    <xf numFmtId="0" fontId="15" fillId="10" borderId="4" xfId="0" applyFont="1" applyFill="1" applyBorder="1" applyAlignment="1">
      <alignment horizontal="left" wrapText="1"/>
    </xf>
    <xf numFmtId="0" fontId="15" fillId="10" borderId="0" xfId="0" applyFont="1" applyFill="1" applyBorder="1" applyAlignment="1">
      <alignment horizontal="left" wrapText="1"/>
    </xf>
    <xf numFmtId="0" fontId="15" fillId="10" borderId="5" xfId="0" applyFont="1" applyFill="1" applyBorder="1" applyAlignment="1">
      <alignment horizontal="left" wrapText="1"/>
    </xf>
    <xf numFmtId="0" fontId="0" fillId="10" borderId="4" xfId="0" applyFill="1" applyBorder="1" applyAlignment="1">
      <alignment horizontal="left" vertical="top" wrapText="1"/>
    </xf>
    <xf numFmtId="0" fontId="0" fillId="10" borderId="0" xfId="0" applyFill="1" applyBorder="1" applyAlignment="1">
      <alignment horizontal="left" vertical="top" wrapText="1"/>
    </xf>
    <xf numFmtId="0" fontId="0" fillId="10" borderId="5" xfId="0" applyFill="1" applyBorder="1" applyAlignment="1">
      <alignment horizontal="left" vertical="top" wrapText="1"/>
    </xf>
    <xf numFmtId="0" fontId="0" fillId="10" borderId="6" xfId="0" applyFill="1" applyBorder="1" applyAlignment="1">
      <alignment horizontal="left" vertical="top" wrapText="1"/>
    </xf>
    <xf numFmtId="0" fontId="0" fillId="10" borderId="7" xfId="0" applyFill="1" applyBorder="1" applyAlignment="1">
      <alignment horizontal="left" vertical="top" wrapText="1"/>
    </xf>
    <xf numFmtId="0" fontId="0" fillId="10" borderId="8" xfId="0" applyFill="1" applyBorder="1" applyAlignment="1">
      <alignment horizontal="left" vertical="top" wrapText="1"/>
    </xf>
    <xf numFmtId="0" fontId="2" fillId="12" borderId="1" xfId="1" applyFill="1" applyBorder="1" applyAlignment="1">
      <alignment horizontal="left"/>
    </xf>
    <xf numFmtId="0" fontId="2" fillId="12" borderId="2" xfId="1" applyFill="1" applyBorder="1" applyAlignment="1">
      <alignment horizontal="left"/>
    </xf>
    <xf numFmtId="0" fontId="2" fillId="12" borderId="3" xfId="1" applyFill="1" applyBorder="1" applyAlignment="1">
      <alignment horizontal="left"/>
    </xf>
    <xf numFmtId="0" fontId="38" fillId="4" borderId="4" xfId="1" applyFont="1" applyFill="1" applyBorder="1" applyAlignment="1">
      <alignment horizontal="left" vertical="top" wrapText="1"/>
    </xf>
    <xf numFmtId="0" fontId="38" fillId="4" borderId="0" xfId="1" applyFont="1" applyFill="1" applyBorder="1" applyAlignment="1">
      <alignment horizontal="left" vertical="top" wrapText="1"/>
    </xf>
    <xf numFmtId="0" fontId="38" fillId="4" borderId="5" xfId="1" applyFont="1" applyFill="1" applyBorder="1" applyAlignment="1">
      <alignment horizontal="left" vertical="top" wrapText="1"/>
    </xf>
    <xf numFmtId="0" fontId="15" fillId="12" borderId="4" xfId="0" applyFont="1" applyFill="1" applyBorder="1" applyAlignment="1">
      <alignment horizontal="left" vertical="top" wrapText="1"/>
    </xf>
    <xf numFmtId="0" fontId="15" fillId="12" borderId="0" xfId="0" applyFont="1" applyFill="1" applyBorder="1" applyAlignment="1">
      <alignment horizontal="left" vertical="top" wrapText="1"/>
    </xf>
    <xf numFmtId="0" fontId="15" fillId="12" borderId="5" xfId="0" applyFont="1" applyFill="1" applyBorder="1" applyAlignment="1">
      <alignment horizontal="left" vertical="top" wrapText="1"/>
    </xf>
    <xf numFmtId="0" fontId="49" fillId="0" borderId="0" xfId="0" applyFont="1" applyBorder="1" applyAlignment="1">
      <alignment horizontal="left" vertical="center" wrapText="1"/>
    </xf>
    <xf numFmtId="0" fontId="0" fillId="3" borderId="4"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6" xfId="0" applyFill="1" applyBorder="1" applyAlignment="1">
      <alignment horizontal="left" vertical="top" wrapText="1"/>
    </xf>
    <xf numFmtId="0" fontId="0" fillId="3" borderId="7" xfId="0" applyFill="1" applyBorder="1" applyAlignment="1">
      <alignment horizontal="left" vertical="top" wrapText="1"/>
    </xf>
    <xf numFmtId="0" fontId="0" fillId="3" borderId="56" xfId="0" applyFill="1" applyBorder="1" applyAlignment="1">
      <alignment horizontal="left" vertical="top" wrapText="1"/>
    </xf>
    <xf numFmtId="0" fontId="0" fillId="4" borderId="4" xfId="0" applyFill="1" applyBorder="1" applyAlignment="1">
      <alignment horizontal="left" vertical="top" wrapText="1"/>
    </xf>
    <xf numFmtId="0" fontId="0" fillId="4" borderId="0" xfId="0" applyFill="1" applyBorder="1" applyAlignment="1">
      <alignment horizontal="left" vertical="top" wrapText="1"/>
    </xf>
    <xf numFmtId="0" fontId="0" fillId="4" borderId="5" xfId="0" applyFill="1" applyBorder="1" applyAlignment="1">
      <alignment horizontal="left" vertical="top" wrapText="1"/>
    </xf>
    <xf numFmtId="0" fontId="0" fillId="4" borderId="6" xfId="0" applyFill="1" applyBorder="1" applyAlignment="1">
      <alignment horizontal="left" vertical="top" wrapText="1"/>
    </xf>
    <xf numFmtId="0" fontId="0" fillId="4" borderId="7" xfId="0" applyFill="1" applyBorder="1" applyAlignment="1">
      <alignment horizontal="left" vertical="top" wrapText="1"/>
    </xf>
    <xf numFmtId="0" fontId="0" fillId="4" borderId="8" xfId="0" applyFill="1" applyBorder="1" applyAlignment="1">
      <alignment horizontal="left" vertical="top" wrapText="1"/>
    </xf>
    <xf numFmtId="0" fontId="12" fillId="0" borderId="0" xfId="0" applyFont="1" applyBorder="1" applyAlignment="1">
      <alignment horizontal="left" vertical="center" wrapText="1"/>
    </xf>
    <xf numFmtId="0" fontId="0" fillId="5" borderId="4" xfId="0" applyFill="1" applyBorder="1" applyAlignment="1">
      <alignment horizontal="left" vertical="top" wrapText="1"/>
    </xf>
    <xf numFmtId="0" fontId="0" fillId="5" borderId="0" xfId="0" applyFill="1" applyBorder="1" applyAlignment="1">
      <alignment horizontal="left" vertical="top" wrapText="1"/>
    </xf>
    <xf numFmtId="0" fontId="0" fillId="5" borderId="5" xfId="0" applyFill="1" applyBorder="1" applyAlignment="1">
      <alignment horizontal="left" vertical="top" wrapText="1"/>
    </xf>
    <xf numFmtId="0" fontId="0" fillId="5" borderId="6" xfId="0" applyFill="1" applyBorder="1" applyAlignment="1">
      <alignment horizontal="left" vertical="top" wrapText="1"/>
    </xf>
    <xf numFmtId="0" fontId="0" fillId="5" borderId="7" xfId="0" applyFill="1" applyBorder="1" applyAlignment="1">
      <alignment horizontal="left" vertical="top" wrapText="1"/>
    </xf>
    <xf numFmtId="0" fontId="0" fillId="5" borderId="8" xfId="0" applyFill="1" applyBorder="1" applyAlignment="1">
      <alignment horizontal="left" vertical="top" wrapText="1"/>
    </xf>
    <xf numFmtId="0" fontId="2" fillId="0" borderId="0" xfId="1" applyBorder="1" applyAlignment="1">
      <alignment horizontal="left"/>
    </xf>
    <xf numFmtId="0" fontId="49" fillId="0" borderId="0" xfId="1" applyFont="1" applyBorder="1" applyAlignment="1">
      <alignment horizontal="left"/>
    </xf>
    <xf numFmtId="0" fontId="2" fillId="10" borderId="1" xfId="1" applyFill="1" applyBorder="1" applyAlignment="1">
      <alignment horizontal="left"/>
    </xf>
    <xf numFmtId="0" fontId="2" fillId="10" borderId="2" xfId="1" applyFill="1" applyBorder="1" applyAlignment="1">
      <alignment horizontal="left"/>
    </xf>
    <xf numFmtId="0" fontId="2" fillId="10" borderId="3" xfId="1" applyFill="1" applyBorder="1" applyAlignment="1">
      <alignment horizontal="left"/>
    </xf>
    <xf numFmtId="0" fontId="2" fillId="3" borderId="1" xfId="1" applyFill="1" applyBorder="1" applyAlignment="1">
      <alignment horizontal="left"/>
    </xf>
    <xf numFmtId="0" fontId="2" fillId="3" borderId="2" xfId="1" applyFill="1" applyBorder="1" applyAlignment="1">
      <alignment horizontal="left"/>
    </xf>
    <xf numFmtId="0" fontId="2" fillId="3" borderId="55" xfId="1" applyFill="1" applyBorder="1" applyAlignment="1">
      <alignment horizontal="left"/>
    </xf>
    <xf numFmtId="0" fontId="47" fillId="6" borderId="1" xfId="0" applyFont="1" applyFill="1" applyBorder="1" applyAlignment="1">
      <alignment horizontal="left"/>
    </xf>
    <xf numFmtId="0" fontId="47" fillId="6" borderId="2" xfId="0" applyFont="1" applyFill="1" applyBorder="1" applyAlignment="1">
      <alignment horizontal="left"/>
    </xf>
    <xf numFmtId="0" fontId="47" fillId="6" borderId="3" xfId="0" applyFont="1" applyFill="1" applyBorder="1" applyAlignment="1">
      <alignment horizontal="left"/>
    </xf>
    <xf numFmtId="0" fontId="15" fillId="3" borderId="4" xfId="0" applyFont="1" applyFill="1" applyBorder="1" applyAlignment="1">
      <alignment horizontal="left" vertical="top" wrapText="1"/>
    </xf>
    <xf numFmtId="0" fontId="15" fillId="3" borderId="0" xfId="0" applyFont="1" applyFill="1" applyBorder="1" applyAlignment="1">
      <alignment horizontal="left" vertical="top" wrapText="1"/>
    </xf>
    <xf numFmtId="0" fontId="15" fillId="3" borderId="20" xfId="0" applyFont="1" applyFill="1" applyBorder="1" applyAlignment="1">
      <alignment horizontal="left" vertical="top" wrapText="1"/>
    </xf>
    <xf numFmtId="0" fontId="5" fillId="0" borderId="0" xfId="0" applyFont="1" applyBorder="1" applyAlignment="1">
      <alignment horizontal="left" vertical="center"/>
    </xf>
    <xf numFmtId="0" fontId="0" fillId="0" borderId="0" xfId="0" applyFill="1" applyBorder="1" applyAlignment="1">
      <alignment horizontal="center"/>
    </xf>
    <xf numFmtId="14" fontId="0" fillId="0" borderId="0" xfId="0" applyNumberFormat="1" applyFill="1" applyBorder="1" applyAlignment="1">
      <alignment horizontal="left"/>
    </xf>
    <xf numFmtId="0" fontId="15" fillId="5" borderId="4" xfId="0" applyFont="1" applyFill="1" applyBorder="1" applyAlignment="1">
      <alignment horizontal="left" wrapText="1"/>
    </xf>
    <xf numFmtId="0" fontId="15" fillId="5" borderId="0" xfId="0" applyFont="1" applyFill="1" applyBorder="1" applyAlignment="1">
      <alignment horizontal="left" wrapText="1"/>
    </xf>
    <xf numFmtId="0" fontId="15" fillId="5" borderId="5" xfId="0" applyFont="1" applyFill="1" applyBorder="1" applyAlignment="1">
      <alignment horizontal="left" wrapText="1"/>
    </xf>
    <xf numFmtId="0" fontId="18" fillId="6" borderId="14" xfId="0" applyFont="1" applyFill="1" applyBorder="1" applyAlignment="1">
      <alignment horizontal="center"/>
    </xf>
    <xf numFmtId="0" fontId="19" fillId="0" borderId="0" xfId="0" applyFont="1" applyBorder="1" applyAlignment="1">
      <alignment horizontal="center" vertical="center"/>
    </xf>
    <xf numFmtId="0" fontId="2" fillId="5" borderId="1" xfId="1" applyFill="1" applyBorder="1" applyAlignment="1">
      <alignment horizontal="left"/>
    </xf>
    <xf numFmtId="0" fontId="2" fillId="5" borderId="2" xfId="1" applyFill="1" applyBorder="1" applyAlignment="1">
      <alignment horizontal="left"/>
    </xf>
    <xf numFmtId="0" fontId="2" fillId="5" borderId="3" xfId="1" applyFill="1" applyBorder="1" applyAlignment="1">
      <alignment horizontal="left"/>
    </xf>
    <xf numFmtId="0" fontId="47" fillId="4" borderId="1" xfId="0" applyFont="1" applyFill="1" applyBorder="1" applyAlignment="1">
      <alignment horizontal="left"/>
    </xf>
    <xf numFmtId="0" fontId="47" fillId="4" borderId="2" xfId="0" applyFont="1" applyFill="1" applyBorder="1" applyAlignment="1">
      <alignment horizontal="left"/>
    </xf>
    <xf numFmtId="0" fontId="47" fillId="4" borderId="3" xfId="0" applyFont="1" applyFill="1" applyBorder="1" applyAlignment="1">
      <alignment horizontal="left"/>
    </xf>
    <xf numFmtId="0" fontId="0" fillId="0" borderId="0" xfId="0"/>
    <xf numFmtId="0" fontId="5" fillId="6" borderId="0" xfId="0" applyFont="1" applyFill="1" applyBorder="1" applyAlignment="1">
      <alignment horizontal="center" wrapText="1"/>
    </xf>
    <xf numFmtId="0" fontId="79" fillId="0" borderId="0" xfId="0" applyFont="1" applyFill="1" applyBorder="1" applyAlignment="1">
      <alignment horizontal="left"/>
    </xf>
    <xf numFmtId="0" fontId="2" fillId="11" borderId="1" xfId="1" applyFill="1" applyBorder="1" applyAlignment="1">
      <alignment horizontal="left"/>
    </xf>
    <xf numFmtId="0" fontId="2" fillId="11" borderId="2" xfId="1" applyFill="1" applyBorder="1" applyAlignment="1">
      <alignment horizontal="left"/>
    </xf>
    <xf numFmtId="0" fontId="2" fillId="11" borderId="3" xfId="1" applyFill="1" applyBorder="1" applyAlignment="1">
      <alignment horizontal="left"/>
    </xf>
    <xf numFmtId="0" fontId="46" fillId="0" borderId="0" xfId="0" applyFont="1" applyBorder="1" applyAlignment="1">
      <alignment horizontal="left" vertical="center" wrapText="1"/>
    </xf>
    <xf numFmtId="0" fontId="46" fillId="0" borderId="20" xfId="0" applyFont="1" applyBorder="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46" fillId="0" borderId="0" xfId="0" applyFont="1" applyBorder="1" applyAlignment="1">
      <alignment horizontal="left" vertical="center"/>
    </xf>
    <xf numFmtId="0" fontId="46" fillId="0" borderId="20" xfId="0" applyFont="1" applyBorder="1" applyAlignment="1">
      <alignment horizontal="left" vertical="center"/>
    </xf>
    <xf numFmtId="0" fontId="46" fillId="0" borderId="19" xfId="0" applyFont="1" applyBorder="1" applyAlignment="1">
      <alignment horizontal="left" vertical="center" wrapText="1"/>
    </xf>
    <xf numFmtId="0" fontId="46" fillId="0" borderId="19" xfId="0" applyFont="1" applyBorder="1" applyAlignment="1">
      <alignment horizontal="left" vertical="center"/>
    </xf>
    <xf numFmtId="0" fontId="49" fillId="0" borderId="0" xfId="0" applyFont="1" applyBorder="1" applyAlignment="1">
      <alignment horizontal="left" vertical="top" wrapText="1"/>
    </xf>
    <xf numFmtId="0" fontId="49" fillId="0" borderId="20" xfId="0" applyFont="1" applyBorder="1" applyAlignment="1">
      <alignment horizontal="left" vertical="top" wrapText="1"/>
    </xf>
    <xf numFmtId="0" fontId="49" fillId="0" borderId="0" xfId="0" applyFont="1" applyBorder="1" applyAlignment="1">
      <alignment horizontal="left" wrapText="1"/>
    </xf>
    <xf numFmtId="0" fontId="49" fillId="0" borderId="20" xfId="0" applyFont="1" applyBorder="1" applyAlignment="1">
      <alignment horizontal="left" wrapText="1"/>
    </xf>
    <xf numFmtId="0" fontId="49" fillId="0" borderId="0" xfId="0" applyFont="1" applyBorder="1" applyAlignment="1">
      <alignment horizontal="left" vertical="top"/>
    </xf>
    <xf numFmtId="0" fontId="49" fillId="0" borderId="20" xfId="0" applyFont="1" applyBorder="1" applyAlignment="1">
      <alignment horizontal="left" vertical="top"/>
    </xf>
    <xf numFmtId="0" fontId="1" fillId="0" borderId="19" xfId="0" applyFont="1" applyBorder="1" applyAlignment="1">
      <alignment horizontal="left"/>
    </xf>
    <xf numFmtId="0" fontId="1" fillId="0" borderId="0" xfId="0" applyFont="1" applyBorder="1" applyAlignment="1">
      <alignment horizontal="left"/>
    </xf>
    <xf numFmtId="0" fontId="0" fillId="0" borderId="0" xfId="0" applyBorder="1" applyAlignment="1">
      <alignment horizontal="left" vertical="center"/>
    </xf>
    <xf numFmtId="0" fontId="0" fillId="0" borderId="20" xfId="0" applyBorder="1" applyAlignment="1">
      <alignment horizontal="left" vertical="center"/>
    </xf>
    <xf numFmtId="0" fontId="46" fillId="0" borderId="0" xfId="0" applyFont="1" applyBorder="1" applyAlignment="1">
      <alignment horizontal="left" vertical="top"/>
    </xf>
    <xf numFmtId="0" fontId="0" fillId="0" borderId="0" xfId="0" applyAlignment="1">
      <alignment horizontal="left"/>
    </xf>
    <xf numFmtId="0" fontId="0" fillId="0" borderId="20" xfId="0" applyBorder="1" applyAlignment="1">
      <alignment horizontal="left"/>
    </xf>
    <xf numFmtId="0" fontId="49" fillId="0" borderId="0" xfId="0" applyFont="1" applyBorder="1" applyAlignment="1">
      <alignment horizontal="left"/>
    </xf>
    <xf numFmtId="0" fontId="49" fillId="0" borderId="20" xfId="0" applyFont="1" applyBorder="1" applyAlignment="1">
      <alignment horizontal="left"/>
    </xf>
    <xf numFmtId="0" fontId="0" fillId="0" borderId="0" xfId="0" applyBorder="1" applyAlignment="1">
      <alignment horizontal="left"/>
    </xf>
    <xf numFmtId="0" fontId="49" fillId="0" borderId="0" xfId="0" applyFont="1" applyAlignment="1">
      <alignment horizontal="left" vertical="center"/>
    </xf>
    <xf numFmtId="0" fontId="1" fillId="0" borderId="0" xfId="0" applyFont="1" applyBorder="1" applyAlignment="1">
      <alignment horizontal="left" vertical="center"/>
    </xf>
    <xf numFmtId="0" fontId="49" fillId="0" borderId="20" xfId="0" applyFont="1" applyBorder="1" applyAlignment="1">
      <alignment horizontal="left" vertical="center" wrapText="1"/>
    </xf>
    <xf numFmtId="0" fontId="1" fillId="0" borderId="0" xfId="0" applyFont="1" applyAlignment="1">
      <alignment horizontal="center" vertical="center" wrapText="1"/>
    </xf>
    <xf numFmtId="0" fontId="1" fillId="0" borderId="0" xfId="0" applyFont="1" applyAlignment="1">
      <alignment horizontal="center" wrapText="1"/>
    </xf>
    <xf numFmtId="0" fontId="0" fillId="0" borderId="0" xfId="0" applyFill="1" applyBorder="1" applyAlignment="1">
      <alignment horizontal="center" vertical="center" wrapText="1"/>
    </xf>
    <xf numFmtId="0" fontId="2" fillId="0" borderId="14" xfId="1" applyFill="1" applyBorder="1" applyAlignment="1">
      <alignment horizontal="left"/>
    </xf>
    <xf numFmtId="0" fontId="0" fillId="0" borderId="12" xfId="0" applyBorder="1" applyAlignment="1">
      <alignment horizontal="center" vertical="center"/>
    </xf>
    <xf numFmtId="0" fontId="0" fillId="0" borderId="17" xfId="0" applyBorder="1" applyAlignment="1">
      <alignment horizontal="center" vertical="center"/>
    </xf>
    <xf numFmtId="0" fontId="2" fillId="0" borderId="67" xfId="1" applyBorder="1" applyAlignment="1">
      <alignment horizontal="left"/>
    </xf>
    <xf numFmtId="0" fontId="60" fillId="0" borderId="0" xfId="0" applyFont="1" applyBorder="1" applyAlignment="1">
      <alignment horizontal="left" vertical="center" wrapText="1"/>
    </xf>
    <xf numFmtId="0" fontId="46" fillId="0" borderId="0" xfId="0" applyFont="1" applyBorder="1" applyAlignment="1">
      <alignment vertical="center"/>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46" fillId="0" borderId="19" xfId="0" applyFont="1" applyFill="1" applyBorder="1" applyAlignment="1">
      <alignment vertical="center" wrapText="1"/>
    </xf>
    <xf numFmtId="0" fontId="46" fillId="0" borderId="0" xfId="0" applyFont="1" applyFill="1" applyBorder="1" applyAlignment="1">
      <alignment vertical="center" wrapText="1"/>
    </xf>
    <xf numFmtId="0" fontId="14" fillId="0" borderId="19" xfId="0" applyFont="1" applyFill="1" applyBorder="1" applyAlignment="1">
      <alignment horizontal="left"/>
    </xf>
    <xf numFmtId="0" fontId="14" fillId="0" borderId="0" xfId="0" applyFont="1" applyFill="1" applyBorder="1" applyAlignment="1">
      <alignment horizontal="left"/>
    </xf>
    <xf numFmtId="0" fontId="55" fillId="0" borderId="19" xfId="0" applyFont="1" applyFill="1" applyBorder="1" applyAlignment="1">
      <alignment horizontal="left" vertical="center" wrapText="1"/>
    </xf>
    <xf numFmtId="0" fontId="55" fillId="0" borderId="0" xfId="0" applyFont="1" applyFill="1" applyBorder="1" applyAlignment="1">
      <alignment horizontal="left" vertical="center" wrapText="1"/>
    </xf>
    <xf numFmtId="0" fontId="42" fillId="0" borderId="0" xfId="0" applyFont="1" applyFill="1" applyBorder="1" applyAlignment="1">
      <alignment horizontal="left" wrapText="1"/>
    </xf>
    <xf numFmtId="0" fontId="100" fillId="0" borderId="0" xfId="0" applyFont="1" applyFill="1" applyBorder="1" applyAlignment="1">
      <alignment horizontal="center"/>
    </xf>
    <xf numFmtId="0" fontId="1" fillId="0" borderId="29" xfId="0" applyFont="1" applyBorder="1" applyAlignment="1">
      <alignment horizontal="center"/>
    </xf>
    <xf numFmtId="0" fontId="1" fillId="0" borderId="31" xfId="0" applyFont="1" applyBorder="1" applyAlignment="1">
      <alignment horizontal="center"/>
    </xf>
    <xf numFmtId="0" fontId="1" fillId="13" borderId="21" xfId="0" applyFont="1" applyFill="1" applyBorder="1" applyAlignment="1">
      <alignment horizontal="center"/>
    </xf>
    <xf numFmtId="0" fontId="1" fillId="13" borderId="32" xfId="0" applyFont="1" applyFill="1" applyBorder="1" applyAlignment="1">
      <alignment horizontal="center"/>
    </xf>
    <xf numFmtId="0" fontId="1" fillId="13" borderId="37" xfId="0" applyFont="1" applyFill="1" applyBorder="1" applyAlignment="1">
      <alignment horizontal="center" wrapText="1"/>
    </xf>
    <xf numFmtId="0" fontId="1" fillId="13" borderId="48" xfId="0" applyFont="1" applyFill="1" applyBorder="1" applyAlignment="1">
      <alignment horizontal="center" wrapText="1"/>
    </xf>
    <xf numFmtId="0" fontId="14" fillId="0" borderId="19" xfId="0" applyFont="1" applyBorder="1" applyAlignment="1">
      <alignment horizontal="left"/>
    </xf>
    <xf numFmtId="0" fontId="14" fillId="0" borderId="0" xfId="0" applyFont="1" applyBorder="1" applyAlignment="1">
      <alignment horizontal="left"/>
    </xf>
    <xf numFmtId="0" fontId="26" fillId="0" borderId="19" xfId="0" applyFont="1" applyBorder="1" applyAlignment="1">
      <alignment horizontal="left" vertical="center" wrapText="1"/>
    </xf>
    <xf numFmtId="0" fontId="26" fillId="0" borderId="0" xfId="0" applyFont="1" applyBorder="1" applyAlignment="1">
      <alignment horizontal="left" vertical="center" wrapText="1"/>
    </xf>
    <xf numFmtId="0" fontId="26" fillId="0" borderId="19" xfId="0" applyFont="1" applyBorder="1" applyAlignment="1">
      <alignment horizontal="left" vertical="top"/>
    </xf>
    <xf numFmtId="0" fontId="26" fillId="0" borderId="0" xfId="0" applyFont="1" applyBorder="1" applyAlignment="1">
      <alignment horizontal="left" vertical="top"/>
    </xf>
    <xf numFmtId="0" fontId="0" fillId="5" borderId="12" xfId="0" applyFill="1" applyBorder="1" applyAlignment="1">
      <alignment horizontal="center" wrapText="1"/>
    </xf>
    <xf numFmtId="0" fontId="0" fillId="5" borderId="17" xfId="0" applyFill="1" applyBorder="1" applyAlignment="1">
      <alignment horizontal="center" wrapText="1"/>
    </xf>
    <xf numFmtId="0" fontId="1" fillId="0" borderId="9" xfId="0" applyFont="1" applyBorder="1" applyAlignment="1">
      <alignment horizontal="center"/>
    </xf>
    <xf numFmtId="0" fontId="1" fillId="0" borderId="10" xfId="0" applyFont="1" applyBorder="1" applyAlignment="1">
      <alignment horizontal="center"/>
    </xf>
    <xf numFmtId="0" fontId="1" fillId="0" borderId="11" xfId="0" applyFont="1" applyBorder="1" applyAlignment="1">
      <alignment horizontal="center"/>
    </xf>
    <xf numFmtId="0" fontId="0" fillId="0" borderId="16" xfId="0" applyBorder="1" applyAlignment="1">
      <alignment horizontal="center"/>
    </xf>
    <xf numFmtId="0" fontId="0" fillId="0" borderId="32" xfId="0" applyBorder="1" applyAlignment="1">
      <alignment horizontal="center"/>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0" fillId="0" borderId="21" xfId="0" applyBorder="1" applyAlignment="1">
      <alignment horizontal="center"/>
    </xf>
    <xf numFmtId="0" fontId="1" fillId="0" borderId="16" xfId="0" applyFont="1" applyBorder="1" applyAlignment="1">
      <alignment horizontal="center" wrapText="1"/>
    </xf>
    <xf numFmtId="0" fontId="0" fillId="0" borderId="33" xfId="0" applyBorder="1" applyAlignment="1">
      <alignment horizontal="center"/>
    </xf>
    <xf numFmtId="0" fontId="0" fillId="0" borderId="34" xfId="0" applyBorder="1" applyAlignment="1">
      <alignment horizontal="center"/>
    </xf>
    <xf numFmtId="0" fontId="46" fillId="0" borderId="19"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1" fillId="0" borderId="16" xfId="0" applyFont="1" applyBorder="1" applyAlignment="1">
      <alignment horizontal="center" vertical="center"/>
    </xf>
    <xf numFmtId="0" fontId="1" fillId="0" borderId="16" xfId="0" applyFont="1" applyFill="1" applyBorder="1" applyAlignment="1">
      <alignment horizontal="center" vertical="center"/>
    </xf>
    <xf numFmtId="0" fontId="1" fillId="0" borderId="12" xfId="0" applyFont="1" applyFill="1" applyBorder="1" applyAlignment="1">
      <alignment horizontal="center" vertical="center" wrapText="1"/>
    </xf>
    <xf numFmtId="0" fontId="1" fillId="0" borderId="17" xfId="0" applyFont="1" applyFill="1" applyBorder="1" applyAlignment="1">
      <alignment horizontal="center" vertical="center" wrapText="1"/>
    </xf>
    <xf numFmtId="0" fontId="40" fillId="0" borderId="19" xfId="0" applyFont="1" applyBorder="1" applyAlignment="1">
      <alignment horizontal="left" vertical="center" wrapText="1"/>
    </xf>
    <xf numFmtId="0" fontId="40" fillId="0" borderId="0" xfId="0" applyFont="1" applyBorder="1" applyAlignment="1">
      <alignment horizontal="left" vertical="center" wrapText="1"/>
    </xf>
    <xf numFmtId="0" fontId="1" fillId="0" borderId="9" xfId="0" applyFont="1" applyBorder="1" applyAlignment="1">
      <alignment horizontal="left"/>
    </xf>
    <xf numFmtId="0" fontId="1" fillId="0" borderId="10" xfId="0" applyFont="1" applyBorder="1" applyAlignment="1">
      <alignment horizontal="left"/>
    </xf>
    <xf numFmtId="0" fontId="1" fillId="0" borderId="11" xfId="0" applyFont="1" applyBorder="1" applyAlignment="1">
      <alignment horizontal="left"/>
    </xf>
    <xf numFmtId="0" fontId="48" fillId="0" borderId="12" xfId="0" applyFont="1" applyBorder="1" applyAlignment="1">
      <alignment horizontal="center" vertical="center" wrapText="1"/>
    </xf>
    <xf numFmtId="0" fontId="48" fillId="0" borderId="17" xfId="0" applyFont="1" applyBorder="1" applyAlignment="1">
      <alignment horizontal="center" vertical="center" wrapText="1"/>
    </xf>
    <xf numFmtId="0" fontId="0" fillId="0" borderId="16" xfId="0" applyBorder="1" applyAlignment="1">
      <alignment horizontal="center" vertical="center" wrapText="1"/>
    </xf>
    <xf numFmtId="0" fontId="0" fillId="0" borderId="1" xfId="0" applyBorder="1" applyAlignment="1">
      <alignment horizontal="center" wrapText="1"/>
    </xf>
    <xf numFmtId="0" fontId="0" fillId="0" borderId="4" xfId="0" applyBorder="1" applyAlignment="1">
      <alignment horizontal="center" wrapText="1"/>
    </xf>
    <xf numFmtId="0" fontId="21" fillId="0" borderId="0" xfId="0" applyFont="1" applyBorder="1" applyAlignment="1">
      <alignment horizontal="left"/>
    </xf>
    <xf numFmtId="2" fontId="0" fillId="0" borderId="9" xfId="0" applyNumberFormat="1" applyFill="1" applyBorder="1" applyAlignment="1">
      <alignment horizontal="center"/>
    </xf>
    <xf numFmtId="2" fontId="0" fillId="0" borderId="11" xfId="0" applyNumberFormat="1" applyFill="1" applyBorder="1" applyAlignment="1">
      <alignment horizontal="center"/>
    </xf>
    <xf numFmtId="0" fontId="1" fillId="0" borderId="16" xfId="0" applyFont="1" applyBorder="1" applyAlignment="1">
      <alignment horizontal="center"/>
    </xf>
    <xf numFmtId="0" fontId="1" fillId="0" borderId="16" xfId="0" applyFont="1" applyFill="1" applyBorder="1" applyAlignment="1">
      <alignment horizontal="center" wrapText="1"/>
    </xf>
    <xf numFmtId="0" fontId="0" fillId="0" borderId="35" xfId="0" applyBorder="1" applyAlignment="1">
      <alignment horizontal="center"/>
    </xf>
    <xf numFmtId="0" fontId="1" fillId="0" borderId="31" xfId="0" applyFont="1" applyBorder="1" applyAlignment="1">
      <alignment horizontal="center" vertical="center" wrapText="1"/>
    </xf>
    <xf numFmtId="0" fontId="46" fillId="0" borderId="66" xfId="0" applyFont="1" applyBorder="1" applyAlignment="1">
      <alignment horizontal="left"/>
    </xf>
    <xf numFmtId="0" fontId="46" fillId="0" borderId="10" xfId="0" applyFont="1" applyBorder="1" applyAlignment="1">
      <alignment horizontal="left"/>
    </xf>
    <xf numFmtId="0" fontId="46" fillId="0" borderId="11" xfId="0" applyFont="1" applyBorder="1" applyAlignment="1">
      <alignment horizontal="left"/>
    </xf>
    <xf numFmtId="0" fontId="102" fillId="19" borderId="15" xfId="0" applyFont="1" applyFill="1" applyBorder="1" applyAlignment="1">
      <alignment horizontal="center" vertical="center" wrapText="1"/>
    </xf>
    <xf numFmtId="0" fontId="1" fillId="0" borderId="21" xfId="0" applyFont="1" applyBorder="1" applyAlignment="1">
      <alignment horizontal="left"/>
    </xf>
    <xf numFmtId="0" fontId="1" fillId="0" borderId="16" xfId="0" applyFont="1" applyBorder="1" applyAlignment="1">
      <alignment horizontal="left"/>
    </xf>
    <xf numFmtId="0" fontId="1" fillId="0" borderId="33" xfId="0" applyFont="1" applyBorder="1" applyAlignment="1">
      <alignment horizontal="left"/>
    </xf>
    <xf numFmtId="0" fontId="1" fillId="0" borderId="34" xfId="0" applyFont="1" applyBorder="1" applyAlignment="1">
      <alignment horizontal="left"/>
    </xf>
    <xf numFmtId="0" fontId="0" fillId="0" borderId="46" xfId="0" applyBorder="1" applyAlignment="1">
      <alignment horizontal="left"/>
    </xf>
    <xf numFmtId="0" fontId="0" fillId="0" borderId="47" xfId="0" applyBorder="1" applyAlignment="1">
      <alignment horizontal="left"/>
    </xf>
    <xf numFmtId="0" fontId="0" fillId="0" borderId="0" xfId="0" applyFont="1" applyBorder="1" applyAlignment="1">
      <alignment horizontal="left" vertical="center" wrapText="1"/>
    </xf>
    <xf numFmtId="0" fontId="33" fillId="0" borderId="69" xfId="0" applyFont="1" applyBorder="1" applyAlignment="1">
      <alignment horizontal="center"/>
    </xf>
    <xf numFmtId="0" fontId="33" fillId="0" borderId="72" xfId="0" applyFont="1" applyBorder="1" applyAlignment="1">
      <alignment horizontal="center"/>
    </xf>
    <xf numFmtId="0" fontId="103" fillId="0" borderId="0" xfId="0" applyFont="1" applyBorder="1" applyAlignment="1">
      <alignment horizontal="left" vertical="top" wrapText="1"/>
    </xf>
    <xf numFmtId="0" fontId="37" fillId="0" borderId="0" xfId="0" applyFont="1" applyBorder="1" applyAlignment="1">
      <alignment horizontal="center" wrapText="1"/>
    </xf>
    <xf numFmtId="0" fontId="109" fillId="0" borderId="0" xfId="0" applyFont="1" applyBorder="1" applyAlignment="1">
      <alignment horizontal="center"/>
    </xf>
    <xf numFmtId="0" fontId="1" fillId="20" borderId="0" xfId="0" applyFont="1" applyFill="1" applyBorder="1" applyAlignment="1">
      <alignment horizontal="center" vertical="top" wrapText="1"/>
    </xf>
    <xf numFmtId="0" fontId="46" fillId="0" borderId="65" xfId="0" applyFont="1" applyBorder="1" applyAlignment="1">
      <alignment horizontal="left"/>
    </xf>
    <xf numFmtId="0" fontId="46" fillId="0" borderId="90" xfId="0" applyFont="1" applyBorder="1" applyAlignment="1">
      <alignment horizontal="left"/>
    </xf>
    <xf numFmtId="0" fontId="46" fillId="0" borderId="63" xfId="0" applyFont="1" applyBorder="1" applyAlignment="1">
      <alignment horizontal="left"/>
    </xf>
    <xf numFmtId="0" fontId="46" fillId="0" borderId="17" xfId="0" applyFont="1" applyBorder="1" applyAlignment="1">
      <alignment horizontal="center"/>
    </xf>
    <xf numFmtId="164" fontId="46" fillId="0" borderId="16" xfId="0" applyNumberFormat="1" applyFont="1" applyBorder="1" applyAlignment="1">
      <alignment horizontal="center"/>
    </xf>
    <xf numFmtId="164" fontId="46" fillId="0" borderId="34" xfId="0" applyNumberFormat="1" applyFont="1" applyBorder="1" applyAlignment="1">
      <alignment horizontal="center"/>
    </xf>
    <xf numFmtId="0" fontId="46" fillId="0" borderId="58" xfId="0" applyFont="1" applyBorder="1" applyAlignment="1">
      <alignment horizontal="center"/>
    </xf>
    <xf numFmtId="0" fontId="46" fillId="0" borderId="59" xfId="0" applyFont="1" applyBorder="1" applyAlignment="1">
      <alignment horizontal="center"/>
    </xf>
    <xf numFmtId="0" fontId="91" fillId="0" borderId="97" xfId="0" applyFont="1" applyBorder="1" applyAlignment="1">
      <alignment horizontal="center" vertical="center" wrapText="1"/>
    </xf>
    <xf numFmtId="0" fontId="91" fillId="0" borderId="98" xfId="0" applyFont="1" applyBorder="1" applyAlignment="1">
      <alignment horizontal="center" vertical="center" wrapText="1"/>
    </xf>
    <xf numFmtId="0" fontId="91" fillId="0" borderId="19" xfId="0" applyFont="1" applyBorder="1" applyAlignment="1">
      <alignment horizontal="center" vertical="center" wrapText="1"/>
    </xf>
    <xf numFmtId="0" fontId="91" fillId="0" borderId="0" xfId="0" applyFont="1" applyBorder="1" applyAlignment="1">
      <alignment horizontal="center" vertical="center" wrapText="1"/>
    </xf>
    <xf numFmtId="0" fontId="31" fillId="0" borderId="9" xfId="0" applyFont="1" applyBorder="1" applyAlignment="1" applyProtection="1">
      <alignment horizontal="left" vertical="center"/>
      <protection locked="0"/>
    </xf>
    <xf numFmtId="0" fontId="31" fillId="0" borderId="10" xfId="0" applyFont="1" applyBorder="1" applyAlignment="1" applyProtection="1">
      <alignment horizontal="left" vertical="center"/>
      <protection locked="0"/>
    </xf>
    <xf numFmtId="0" fontId="31" fillId="0" borderId="11" xfId="0" applyFont="1" applyBorder="1" applyAlignment="1" applyProtection="1">
      <alignment horizontal="left" vertical="center"/>
      <protection locked="0"/>
    </xf>
    <xf numFmtId="0" fontId="14" fillId="0" borderId="19"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20" fillId="0" borderId="7" xfId="0" applyFont="1" applyBorder="1" applyAlignment="1">
      <alignment horizontal="left"/>
    </xf>
    <xf numFmtId="0" fontId="33" fillId="0" borderId="39" xfId="0" applyFont="1" applyBorder="1" applyAlignment="1">
      <alignment horizontal="center"/>
    </xf>
    <xf numFmtId="0" fontId="33" fillId="0" borderId="41" xfId="0" applyFont="1" applyBorder="1" applyAlignment="1">
      <alignment horizontal="center"/>
    </xf>
    <xf numFmtId="0" fontId="31" fillId="0" borderId="9" xfId="0" applyFont="1" applyBorder="1" applyAlignment="1">
      <alignment horizontal="center"/>
    </xf>
    <xf numFmtId="0" fontId="31" fillId="0" borderId="10" xfId="0" applyFont="1" applyBorder="1" applyAlignment="1">
      <alignment horizontal="center"/>
    </xf>
    <xf numFmtId="0" fontId="31" fillId="0" borderId="11" xfId="0" applyFont="1" applyBorder="1" applyAlignment="1">
      <alignment horizontal="center"/>
    </xf>
    <xf numFmtId="0" fontId="0" fillId="0" borderId="0" xfId="0" applyBorder="1" applyAlignment="1">
      <alignment horizontal="center" vertical="center" wrapText="1"/>
    </xf>
    <xf numFmtId="164" fontId="46" fillId="0" borderId="9" xfId="0" applyNumberFormat="1" applyFont="1" applyBorder="1" applyAlignment="1">
      <alignment horizontal="center" vertical="center"/>
    </xf>
    <xf numFmtId="164" fontId="46" fillId="0" borderId="10" xfId="0" applyNumberFormat="1" applyFont="1" applyBorder="1" applyAlignment="1">
      <alignment horizontal="center" vertical="center"/>
    </xf>
    <xf numFmtId="164" fontId="46" fillId="0" borderId="101" xfId="0" applyNumberFormat="1" applyFont="1" applyBorder="1" applyAlignment="1">
      <alignment horizontal="center" vertical="center"/>
    </xf>
    <xf numFmtId="0" fontId="46" fillId="9" borderId="15" xfId="0" applyFont="1" applyFill="1" applyBorder="1" applyAlignment="1">
      <alignment horizontal="center"/>
    </xf>
    <xf numFmtId="0" fontId="46" fillId="0" borderId="60" xfId="0" applyFont="1" applyBorder="1" applyAlignment="1">
      <alignment horizontal="left"/>
    </xf>
    <xf numFmtId="0" fontId="46" fillId="0" borderId="16" xfId="0" applyFont="1" applyBorder="1" applyAlignment="1">
      <alignment horizontal="left"/>
    </xf>
    <xf numFmtId="0" fontId="46" fillId="0" borderId="64" xfId="0" applyFont="1" applyBorder="1" applyAlignment="1">
      <alignment horizontal="left"/>
    </xf>
    <xf numFmtId="0" fontId="46" fillId="0" borderId="34" xfId="0" applyFont="1" applyBorder="1" applyAlignment="1">
      <alignment horizontal="left"/>
    </xf>
    <xf numFmtId="0" fontId="33" fillId="0" borderId="85" xfId="0" applyFont="1" applyBorder="1" applyAlignment="1">
      <alignment horizontal="center"/>
    </xf>
    <xf numFmtId="0" fontId="33" fillId="0" borderId="86" xfId="0" applyFont="1" applyBorder="1" applyAlignment="1">
      <alignment horizontal="center"/>
    </xf>
    <xf numFmtId="0" fontId="46" fillId="0" borderId="92" xfId="0" applyFont="1" applyBorder="1" applyAlignment="1">
      <alignment horizontal="center"/>
    </xf>
    <xf numFmtId="0" fontId="46" fillId="0" borderId="94" xfId="0" applyFont="1" applyBorder="1" applyAlignment="1">
      <alignment horizontal="left"/>
    </xf>
    <xf numFmtId="0" fontId="46" fillId="0" borderId="7" xfId="0" applyFont="1" applyBorder="1" applyAlignment="1">
      <alignment horizontal="left"/>
    </xf>
    <xf numFmtId="0" fontId="46" fillId="0" borderId="8" xfId="0" applyFont="1" applyBorder="1" applyAlignment="1">
      <alignment horizontal="left"/>
    </xf>
    <xf numFmtId="0" fontId="49" fillId="0" borderId="15" xfId="0" applyFont="1" applyBorder="1" applyAlignment="1">
      <alignment horizontal="left" vertical="top" wrapText="1"/>
    </xf>
    <xf numFmtId="0" fontId="1" fillId="0" borderId="0" xfId="0" applyFont="1" applyFill="1" applyBorder="1" applyAlignment="1">
      <alignment horizontal="center" wrapText="1"/>
    </xf>
    <xf numFmtId="0" fontId="13" fillId="0" borderId="36" xfId="0" applyFont="1" applyBorder="1" applyAlignment="1">
      <alignment horizontal="left" vertical="center"/>
    </xf>
    <xf numFmtId="0" fontId="13" fillId="0" borderId="14" xfId="0" applyFont="1" applyBorder="1" applyAlignment="1">
      <alignment horizontal="left" vertical="center"/>
    </xf>
    <xf numFmtId="0" fontId="1" fillId="0" borderId="5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3" xfId="0" applyFont="1" applyFill="1" applyBorder="1" applyAlignment="1">
      <alignment horizontal="center" vertical="center" wrapText="1"/>
    </xf>
    <xf numFmtId="0" fontId="0" fillId="0" borderId="19"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0" xfId="0" applyFill="1" applyBorder="1" applyAlignment="1">
      <alignment horizontal="center" wrapText="1"/>
    </xf>
    <xf numFmtId="0" fontId="0" fillId="0" borderId="0" xfId="0" applyFill="1" applyBorder="1" applyAlignment="1">
      <alignment horizontal="center" vertical="center"/>
    </xf>
    <xf numFmtId="0" fontId="0" fillId="0" borderId="5" xfId="0" applyFill="1" applyBorder="1" applyAlignment="1">
      <alignment horizontal="center" vertical="center"/>
    </xf>
    <xf numFmtId="0" fontId="1" fillId="13" borderId="9" xfId="0" applyFont="1" applyFill="1" applyBorder="1" applyAlignment="1">
      <alignment horizontal="center" vertical="center"/>
    </xf>
    <xf numFmtId="0" fontId="1" fillId="13" borderId="10" xfId="0" applyFont="1" applyFill="1" applyBorder="1" applyAlignment="1">
      <alignment horizontal="center" vertical="center"/>
    </xf>
    <xf numFmtId="0" fontId="1" fillId="13" borderId="11" xfId="0" applyFont="1" applyFill="1" applyBorder="1" applyAlignment="1">
      <alignment horizontal="center" vertical="center"/>
    </xf>
    <xf numFmtId="0" fontId="93" fillId="8" borderId="51" xfId="0" applyFont="1" applyFill="1" applyBorder="1" applyAlignment="1">
      <alignment horizontal="center"/>
    </xf>
    <xf numFmtId="0" fontId="93" fillId="8" borderId="7" xfId="0" applyFont="1" applyFill="1" applyBorder="1" applyAlignment="1">
      <alignment horizontal="center"/>
    </xf>
    <xf numFmtId="0" fontId="15" fillId="0" borderId="2" xfId="0" applyFont="1" applyBorder="1" applyAlignment="1">
      <alignment horizontal="left" vertical="top" wrapText="1"/>
    </xf>
    <xf numFmtId="0" fontId="15" fillId="0" borderId="0" xfId="0" applyFont="1" applyBorder="1" applyAlignment="1">
      <alignment horizontal="left" vertical="top" wrapText="1"/>
    </xf>
    <xf numFmtId="0" fontId="14" fillId="0" borderId="4" xfId="0" applyFont="1" applyBorder="1" applyAlignment="1">
      <alignment horizontal="right" vertical="top"/>
    </xf>
    <xf numFmtId="0" fontId="66" fillId="0" borderId="0" xfId="0" applyFont="1" applyBorder="1" applyAlignment="1">
      <alignment horizontal="left" vertical="top" wrapText="1"/>
    </xf>
    <xf numFmtId="0" fontId="5" fillId="0" borderId="0" xfId="0" applyFont="1" applyBorder="1" applyAlignment="1">
      <alignment horizontal="left" vertical="top" wrapText="1"/>
    </xf>
    <xf numFmtId="0" fontId="2" fillId="0" borderId="75" xfId="1" applyBorder="1" applyAlignment="1">
      <alignment horizontal="left"/>
    </xf>
    <xf numFmtId="0" fontId="2" fillId="0" borderId="14" xfId="1" applyBorder="1" applyAlignment="1">
      <alignment horizontal="left"/>
    </xf>
    <xf numFmtId="0" fontId="37" fillId="0" borderId="2" xfId="0" applyFont="1" applyBorder="1" applyAlignment="1">
      <alignment horizontal="left" wrapText="1"/>
    </xf>
    <xf numFmtId="0" fontId="37" fillId="0" borderId="0" xfId="0" applyFont="1" applyBorder="1" applyAlignment="1">
      <alignment horizontal="left" wrapText="1"/>
    </xf>
    <xf numFmtId="0" fontId="1" fillId="0" borderId="9" xfId="0" applyFont="1" applyFill="1" applyBorder="1" applyAlignment="1">
      <alignment horizontal="left"/>
    </xf>
    <xf numFmtId="0" fontId="1" fillId="0" borderId="11" xfId="0" applyFont="1" applyFill="1" applyBorder="1" applyAlignment="1">
      <alignment horizontal="left"/>
    </xf>
    <xf numFmtId="0" fontId="1" fillId="0" borderId="9" xfId="0" applyFont="1" applyFill="1" applyBorder="1" applyAlignment="1">
      <alignment horizontal="left" vertical="center"/>
    </xf>
    <xf numFmtId="0" fontId="1" fillId="0" borderId="11" xfId="0" applyFont="1" applyFill="1" applyBorder="1" applyAlignment="1">
      <alignment horizontal="left" vertical="center"/>
    </xf>
    <xf numFmtId="0" fontId="5" fillId="0" borderId="5" xfId="0" applyFont="1" applyBorder="1" applyAlignment="1">
      <alignment horizontal="left" vertical="top" wrapText="1"/>
    </xf>
    <xf numFmtId="0" fontId="45" fillId="0" borderId="96" xfId="0" applyFont="1" applyBorder="1" applyAlignment="1">
      <alignment horizontal="center"/>
    </xf>
    <xf numFmtId="0" fontId="45" fillId="0" borderId="86" xfId="0" applyFont="1" applyBorder="1" applyAlignment="1">
      <alignment horizontal="center"/>
    </xf>
    <xf numFmtId="0" fontId="101" fillId="19" borderId="0" xfId="0" applyFont="1" applyFill="1" applyBorder="1" applyAlignment="1">
      <alignment horizontal="center" vertical="center" wrapText="1"/>
    </xf>
    <xf numFmtId="0" fontId="101" fillId="19" borderId="15" xfId="0" applyFont="1" applyFill="1" applyBorder="1" applyAlignment="1">
      <alignment horizontal="center" vertical="center" wrapText="1"/>
    </xf>
    <xf numFmtId="0" fontId="5" fillId="0" borderId="0" xfId="0" applyFont="1" applyBorder="1" applyAlignment="1">
      <alignment horizontal="left" wrapText="1"/>
    </xf>
    <xf numFmtId="0" fontId="5" fillId="19" borderId="15" xfId="0" applyFont="1" applyFill="1" applyBorder="1" applyAlignment="1">
      <alignment horizontal="center" vertical="center" wrapText="1"/>
    </xf>
    <xf numFmtId="0" fontId="0" fillId="0" borderId="15" xfId="0" applyBorder="1" applyAlignment="1">
      <alignment horizontal="center" vertical="center" wrapText="1"/>
    </xf>
    <xf numFmtId="0" fontId="21" fillId="0" borderId="0" xfId="0" applyFont="1" applyBorder="1" applyAlignment="1">
      <alignment horizontal="center" vertical="center" wrapText="1"/>
    </xf>
    <xf numFmtId="0" fontId="0" fillId="0" borderId="19" xfId="0" applyFont="1" applyBorder="1" applyAlignment="1">
      <alignment horizontal="left" vertical="center" wrapText="1"/>
    </xf>
    <xf numFmtId="0" fontId="0" fillId="0" borderId="20" xfId="0" applyFont="1" applyBorder="1" applyAlignment="1">
      <alignment horizontal="left" vertical="center" wrapText="1"/>
    </xf>
    <xf numFmtId="0" fontId="1" fillId="0" borderId="0" xfId="0" applyFont="1" applyBorder="1" applyAlignment="1">
      <alignment horizontal="center" vertical="center" wrapText="1"/>
    </xf>
    <xf numFmtId="0" fontId="0" fillId="0" borderId="19" xfId="0" applyBorder="1" applyAlignment="1">
      <alignment horizontal="left" wrapText="1"/>
    </xf>
    <xf numFmtId="0" fontId="0" fillId="0" borderId="0" xfId="0" applyBorder="1" applyAlignment="1">
      <alignment horizontal="left" wrapText="1"/>
    </xf>
    <xf numFmtId="0" fontId="0" fillId="0" borderId="20" xfId="0" applyBorder="1" applyAlignment="1">
      <alignment horizontal="left" wrapText="1"/>
    </xf>
    <xf numFmtId="164" fontId="36" fillId="0" borderId="14" xfId="0" applyNumberFormat="1" applyFont="1" applyFill="1" applyBorder="1" applyAlignment="1">
      <alignment horizontal="center" vertical="center" wrapText="1"/>
    </xf>
    <xf numFmtId="164" fontId="36" fillId="0" borderId="0" xfId="0" applyNumberFormat="1" applyFont="1" applyFill="1" applyBorder="1" applyAlignment="1">
      <alignment horizontal="center" vertical="center" wrapText="1"/>
    </xf>
    <xf numFmtId="0" fontId="0" fillId="0" borderId="15" xfId="0" applyFill="1" applyBorder="1" applyAlignment="1">
      <alignment horizontal="center"/>
    </xf>
    <xf numFmtId="14" fontId="0" fillId="0" borderId="15" xfId="0" applyNumberFormat="1" applyFill="1" applyBorder="1" applyAlignment="1">
      <alignment horizontal="center"/>
    </xf>
    <xf numFmtId="0" fontId="1" fillId="6" borderId="37" xfId="0" applyFont="1" applyFill="1" applyBorder="1" applyAlignment="1">
      <alignment horizontal="center"/>
    </xf>
    <xf numFmtId="0" fontId="1" fillId="6" borderId="43" xfId="0" applyFont="1" applyFill="1" applyBorder="1" applyAlignment="1">
      <alignment horizontal="center"/>
    </xf>
    <xf numFmtId="0" fontId="1" fillId="6" borderId="48" xfId="0" applyFont="1" applyFill="1" applyBorder="1" applyAlignment="1">
      <alignment horizontal="center"/>
    </xf>
    <xf numFmtId="0" fontId="1" fillId="0" borderId="39" xfId="0" applyFont="1" applyBorder="1" applyAlignment="1">
      <alignment horizontal="center"/>
    </xf>
    <xf numFmtId="0" fontId="1" fillId="0" borderId="43" xfId="0" applyFont="1" applyBorder="1" applyAlignment="1">
      <alignment horizontal="center"/>
    </xf>
    <xf numFmtId="0" fontId="1" fillId="0" borderId="48" xfId="0" applyFont="1" applyBorder="1" applyAlignment="1">
      <alignment horizontal="center"/>
    </xf>
    <xf numFmtId="164" fontId="0" fillId="0" borderId="16" xfId="0" applyNumberFormat="1" applyBorder="1" applyAlignment="1">
      <alignment horizontal="center"/>
    </xf>
    <xf numFmtId="164" fontId="0" fillId="0" borderId="32" xfId="0" applyNumberFormat="1" applyBorder="1" applyAlignment="1">
      <alignment horizontal="center"/>
    </xf>
    <xf numFmtId="0" fontId="1" fillId="6" borderId="16" xfId="0" applyFont="1" applyFill="1" applyBorder="1" applyAlignment="1">
      <alignment horizontal="center"/>
    </xf>
    <xf numFmtId="0" fontId="0" fillId="0" borderId="29" xfId="0" applyBorder="1" applyAlignment="1">
      <alignment horizontal="center" wrapText="1"/>
    </xf>
    <xf numFmtId="0" fontId="0" fillId="0" borderId="30" xfId="0" applyBorder="1" applyAlignment="1">
      <alignment horizontal="center" wrapText="1"/>
    </xf>
    <xf numFmtId="0" fontId="0" fillId="0" borderId="11" xfId="0" applyBorder="1" applyAlignment="1">
      <alignment horizontal="center"/>
    </xf>
    <xf numFmtId="164" fontId="0" fillId="0" borderId="21" xfId="0" applyNumberFormat="1" applyBorder="1" applyAlignment="1">
      <alignment horizontal="center"/>
    </xf>
    <xf numFmtId="164" fontId="0" fillId="0" borderId="11" xfId="0" applyNumberFormat="1" applyBorder="1" applyAlignment="1">
      <alignment horizontal="center"/>
    </xf>
    <xf numFmtId="0" fontId="0" fillId="0" borderId="9" xfId="0" applyBorder="1" applyAlignment="1">
      <alignment horizontal="center"/>
    </xf>
    <xf numFmtId="164" fontId="0" fillId="0" borderId="0" xfId="0" applyNumberFormat="1" applyBorder="1" applyAlignment="1">
      <alignment horizontal="center"/>
    </xf>
    <xf numFmtId="1" fontId="0" fillId="0" borderId="21" xfId="0" applyNumberFormat="1" applyBorder="1" applyAlignment="1">
      <alignment horizontal="center"/>
    </xf>
    <xf numFmtId="1" fontId="0" fillId="0" borderId="32" xfId="0" applyNumberFormat="1" applyBorder="1" applyAlignment="1">
      <alignment horizontal="center"/>
    </xf>
    <xf numFmtId="164" fontId="0" fillId="0" borderId="34" xfId="0" applyNumberFormat="1" applyBorder="1" applyAlignment="1">
      <alignment horizontal="center"/>
    </xf>
    <xf numFmtId="164" fontId="0" fillId="0" borderId="35" xfId="0" applyNumberFormat="1" applyBorder="1" applyAlignment="1">
      <alignment horizontal="center"/>
    </xf>
    <xf numFmtId="164" fontId="0" fillId="0" borderId="9" xfId="0" applyNumberFormat="1" applyBorder="1" applyAlignment="1">
      <alignment horizontal="center"/>
    </xf>
    <xf numFmtId="164" fontId="36" fillId="0" borderId="15" xfId="0" applyNumberFormat="1" applyFont="1" applyFill="1" applyBorder="1" applyAlignment="1">
      <alignment horizontal="center" vertical="center" wrapText="1"/>
    </xf>
    <xf numFmtId="0" fontId="0" fillId="0" borderId="42" xfId="0" applyBorder="1" applyAlignment="1">
      <alignment horizontal="center"/>
    </xf>
    <xf numFmtId="164" fontId="0" fillId="0" borderId="33" xfId="0" applyNumberFormat="1" applyBorder="1" applyAlignment="1">
      <alignment horizontal="center"/>
    </xf>
    <xf numFmtId="164" fontId="0" fillId="0" borderId="40" xfId="0" applyNumberFormat="1" applyBorder="1" applyAlignment="1">
      <alignment horizontal="center"/>
    </xf>
    <xf numFmtId="1" fontId="0" fillId="0" borderId="33" xfId="0" applyNumberFormat="1" applyBorder="1" applyAlignment="1">
      <alignment horizontal="center"/>
    </xf>
    <xf numFmtId="1" fontId="0" fillId="0" borderId="35" xfId="0" applyNumberFormat="1" applyBorder="1" applyAlignment="1">
      <alignment horizontal="center"/>
    </xf>
    <xf numFmtId="0" fontId="1" fillId="6" borderId="41" xfId="0" applyFont="1" applyFill="1" applyBorder="1" applyAlignment="1">
      <alignment horizontal="center"/>
    </xf>
    <xf numFmtId="0" fontId="1" fillId="6" borderId="31" xfId="0" applyFont="1" applyFill="1" applyBorder="1" applyAlignment="1">
      <alignment horizontal="center"/>
    </xf>
    <xf numFmtId="0" fontId="1" fillId="6" borderId="29" xfId="0" applyFont="1" applyFill="1" applyBorder="1" applyAlignment="1">
      <alignment horizontal="center"/>
    </xf>
    <xf numFmtId="0" fontId="1" fillId="6" borderId="30" xfId="0" applyFont="1" applyFill="1" applyBorder="1" applyAlignment="1">
      <alignment horizontal="center"/>
    </xf>
    <xf numFmtId="0" fontId="1" fillId="6" borderId="39" xfId="0" applyFont="1" applyFill="1" applyBorder="1" applyAlignment="1">
      <alignment horizontal="center"/>
    </xf>
    <xf numFmtId="0" fontId="79" fillId="0" borderId="29" xfId="1" applyFont="1" applyFill="1" applyBorder="1" applyAlignment="1">
      <alignment horizontal="center"/>
    </xf>
    <xf numFmtId="0" fontId="79" fillId="0" borderId="31" xfId="0" applyFont="1" applyFill="1" applyBorder="1" applyAlignment="1">
      <alignment horizontal="center"/>
    </xf>
    <xf numFmtId="0" fontId="1" fillId="6" borderId="21" xfId="0" applyFont="1" applyFill="1" applyBorder="1" applyAlignment="1">
      <alignment horizontal="center"/>
    </xf>
    <xf numFmtId="0" fontId="1" fillId="6" borderId="0" xfId="0" applyFont="1" applyFill="1" applyBorder="1" applyAlignment="1">
      <alignment horizontal="center"/>
    </xf>
    <xf numFmtId="0" fontId="1" fillId="6" borderId="32" xfId="0" applyFont="1" applyFill="1" applyBorder="1" applyAlignment="1">
      <alignment horizontal="center"/>
    </xf>
    <xf numFmtId="0" fontId="1" fillId="6" borderId="10" xfId="0" applyFont="1" applyFill="1" applyBorder="1" applyAlignment="1">
      <alignment horizontal="center"/>
    </xf>
    <xf numFmtId="0" fontId="1" fillId="6" borderId="44" xfId="0" applyFont="1" applyFill="1" applyBorder="1" applyAlignment="1">
      <alignment horizontal="center"/>
    </xf>
    <xf numFmtId="0" fontId="1" fillId="6" borderId="9" xfId="0" applyFont="1" applyFill="1" applyBorder="1" applyAlignment="1">
      <alignment horizontal="center"/>
    </xf>
    <xf numFmtId="0" fontId="1" fillId="6" borderId="11" xfId="0" applyFont="1" applyFill="1" applyBorder="1" applyAlignment="1">
      <alignment horizontal="center"/>
    </xf>
    <xf numFmtId="0" fontId="33" fillId="0" borderId="14" xfId="0" applyFont="1" applyBorder="1" applyAlignment="1">
      <alignment horizontal="center"/>
    </xf>
    <xf numFmtId="0" fontId="0" fillId="0" borderId="30" xfId="0" applyBorder="1" applyAlignment="1">
      <alignment horizontal="center" vertical="center"/>
    </xf>
    <xf numFmtId="0" fontId="32" fillId="0" borderId="19" xfId="0" applyFont="1" applyBorder="1" applyAlignment="1">
      <alignment horizontal="left" vertical="center"/>
    </xf>
    <xf numFmtId="0" fontId="32" fillId="0" borderId="0" xfId="0" applyFont="1" applyBorder="1" applyAlignment="1">
      <alignment horizontal="left" vertical="center"/>
    </xf>
    <xf numFmtId="0" fontId="90" fillId="0" borderId="0" xfId="0" applyFont="1" applyBorder="1" applyAlignment="1">
      <alignment horizontal="left" wrapText="1"/>
    </xf>
    <xf numFmtId="0" fontId="0" fillId="0" borderId="1" xfId="0" applyBorder="1" applyAlignment="1">
      <alignment horizontal="center"/>
    </xf>
    <xf numFmtId="0" fontId="0" fillId="0" borderId="2"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0" fillId="0" borderId="0" xfId="0" applyAlignment="1">
      <alignment horizontal="center" wrapText="1"/>
    </xf>
    <xf numFmtId="0" fontId="33" fillId="0" borderId="0" xfId="0" applyFont="1" applyBorder="1" applyAlignment="1">
      <alignment horizontal="center"/>
    </xf>
    <xf numFmtId="0" fontId="33" fillId="0" borderId="5" xfId="0" applyFont="1" applyBorder="1" applyAlignment="1">
      <alignment horizontal="center"/>
    </xf>
    <xf numFmtId="1" fontId="46" fillId="15" borderId="12" xfId="0" applyNumberFormat="1" applyFont="1" applyFill="1" applyBorder="1" applyAlignment="1">
      <alignment horizontal="center" vertical="center"/>
    </xf>
    <xf numFmtId="1" fontId="46" fillId="15" borderId="13" xfId="0" applyNumberFormat="1" applyFont="1" applyFill="1" applyBorder="1" applyAlignment="1">
      <alignment horizontal="center" vertical="center"/>
    </xf>
    <xf numFmtId="1" fontId="46" fillId="15" borderId="17" xfId="0" applyNumberFormat="1" applyFont="1" applyFill="1" applyBorder="1" applyAlignment="1">
      <alignment horizontal="center" vertical="center"/>
    </xf>
    <xf numFmtId="1" fontId="46" fillId="15" borderId="6" xfId="0" applyNumberFormat="1" applyFont="1" applyFill="1" applyBorder="1" applyAlignment="1">
      <alignment horizontal="center" vertical="center"/>
    </xf>
    <xf numFmtId="0" fontId="52" fillId="0" borderId="7" xfId="0" applyFont="1" applyFill="1" applyBorder="1" applyAlignment="1">
      <alignment horizontal="center"/>
    </xf>
    <xf numFmtId="0" fontId="52" fillId="0" borderId="7" xfId="0" applyFont="1" applyBorder="1" applyAlignment="1">
      <alignment horizontal="center"/>
    </xf>
    <xf numFmtId="0" fontId="46" fillId="0" borderId="16" xfId="0" applyFont="1" applyFill="1" applyBorder="1" applyAlignment="1">
      <alignment horizontal="center" vertical="center" wrapText="1"/>
    </xf>
    <xf numFmtId="0" fontId="21" fillId="0" borderId="0" xfId="0" applyFont="1" applyFill="1" applyBorder="1" applyAlignment="1">
      <alignment horizontal="left" vertical="top"/>
    </xf>
    <xf numFmtId="0" fontId="46" fillId="15" borderId="12" xfId="0" applyFont="1" applyFill="1" applyBorder="1" applyAlignment="1">
      <alignment horizontal="center" vertical="center" wrapText="1"/>
    </xf>
    <xf numFmtId="0" fontId="46" fillId="15" borderId="13" xfId="0" applyFont="1" applyFill="1" applyBorder="1" applyAlignment="1">
      <alignment horizontal="center" vertical="center" wrapText="1"/>
    </xf>
    <xf numFmtId="0" fontId="46" fillId="15" borderId="17" xfId="0" applyFont="1" applyFill="1" applyBorder="1" applyAlignment="1">
      <alignment horizontal="center" vertical="center" wrapText="1"/>
    </xf>
    <xf numFmtId="0" fontId="46" fillId="0" borderId="16" xfId="0" applyFont="1" applyBorder="1" applyAlignment="1">
      <alignment horizontal="center" vertical="center" wrapText="1"/>
    </xf>
    <xf numFmtId="0" fontId="33" fillId="15" borderId="9" xfId="0" applyFont="1" applyFill="1" applyBorder="1" applyAlignment="1" applyProtection="1">
      <alignment horizontal="left"/>
    </xf>
    <xf numFmtId="0" fontId="33" fillId="15" borderId="10" xfId="0" applyFont="1" applyFill="1" applyBorder="1" applyAlignment="1" applyProtection="1">
      <alignment horizontal="left"/>
    </xf>
    <xf numFmtId="0" fontId="33" fillId="15" borderId="11" xfId="0" applyFont="1" applyFill="1" applyBorder="1" applyAlignment="1" applyProtection="1">
      <alignment horizontal="left"/>
    </xf>
    <xf numFmtId="0" fontId="46" fillId="15" borderId="4" xfId="0" applyFont="1" applyFill="1" applyBorder="1" applyAlignment="1">
      <alignment horizontal="center" vertical="center"/>
    </xf>
    <xf numFmtId="0" fontId="46" fillId="15" borderId="6" xfId="0" applyFont="1" applyFill="1" applyBorder="1" applyAlignment="1">
      <alignment horizontal="center" vertical="center"/>
    </xf>
    <xf numFmtId="0" fontId="33" fillId="0" borderId="27" xfId="0" applyFont="1" applyBorder="1" applyAlignment="1">
      <alignment horizontal="center"/>
    </xf>
    <xf numFmtId="0" fontId="36" fillId="0" borderId="0" xfId="0" applyFont="1" applyBorder="1" applyAlignment="1">
      <alignment horizontal="center" vertical="center" wrapText="1"/>
    </xf>
    <xf numFmtId="0" fontId="1" fillId="0" borderId="9" xfId="0" applyFont="1" applyFill="1" applyBorder="1" applyAlignment="1">
      <alignment horizontal="center" wrapText="1"/>
    </xf>
    <xf numFmtId="0" fontId="1" fillId="0" borderId="3"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 xfId="0" applyFont="1" applyBorder="1" applyAlignment="1">
      <alignment horizontal="center"/>
    </xf>
    <xf numFmtId="0" fontId="1" fillId="0" borderId="2" xfId="0" applyFont="1" applyBorder="1" applyAlignment="1">
      <alignment horizontal="center"/>
    </xf>
    <xf numFmtId="0" fontId="13" fillId="0" borderId="36" xfId="0" applyFont="1" applyBorder="1" applyAlignment="1">
      <alignment horizontal="left"/>
    </xf>
    <xf numFmtId="0" fontId="13" fillId="0" borderId="14" xfId="0" applyFont="1" applyBorder="1" applyAlignment="1">
      <alignment horizontal="left"/>
    </xf>
    <xf numFmtId="0" fontId="56" fillId="0" borderId="0"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0" fillId="0" borderId="16" xfId="0" applyFont="1" applyBorder="1" applyAlignment="1">
      <alignment horizontal="center" vertical="center" wrapText="1"/>
    </xf>
    <xf numFmtId="0" fontId="46" fillId="15" borderId="13" xfId="0" applyFont="1" applyFill="1" applyBorder="1" applyAlignment="1">
      <alignment horizontal="center" vertical="center"/>
    </xf>
    <xf numFmtId="0" fontId="46" fillId="15" borderId="17" xfId="0" applyFont="1" applyFill="1" applyBorder="1" applyAlignment="1">
      <alignment horizontal="center" vertical="center"/>
    </xf>
    <xf numFmtId="0" fontId="46" fillId="15" borderId="16" xfId="0" applyFont="1" applyFill="1" applyBorder="1" applyAlignment="1">
      <alignment horizontal="center" vertical="center"/>
    </xf>
    <xf numFmtId="0" fontId="2" fillId="0" borderId="0" xfId="1" applyFill="1" applyBorder="1" applyAlignment="1">
      <alignment horizontal="left"/>
    </xf>
    <xf numFmtId="0" fontId="21" fillId="0" borderId="0" xfId="0" applyFont="1" applyFill="1" applyBorder="1" applyAlignment="1">
      <alignment horizontal="left" wrapText="1"/>
    </xf>
    <xf numFmtId="0" fontId="15" fillId="0" borderId="50" xfId="0" applyFont="1" applyFill="1" applyBorder="1" applyAlignment="1">
      <alignment horizontal="center"/>
    </xf>
    <xf numFmtId="0" fontId="15" fillId="0" borderId="2" xfId="0" applyFont="1" applyFill="1" applyBorder="1" applyAlignment="1">
      <alignment horizontal="center"/>
    </xf>
    <xf numFmtId="0" fontId="15" fillId="0" borderId="0" xfId="0" applyFont="1" applyFill="1" applyBorder="1" applyAlignment="1">
      <alignment horizontal="center"/>
    </xf>
    <xf numFmtId="0" fontId="21" fillId="0" borderId="2" xfId="0" applyFont="1" applyFill="1" applyBorder="1" applyAlignment="1">
      <alignment horizontal="left" wrapText="1"/>
    </xf>
    <xf numFmtId="0" fontId="56" fillId="0" borderId="50" xfId="0" applyFont="1" applyFill="1" applyBorder="1" applyAlignment="1">
      <alignment horizontal="center" wrapText="1"/>
    </xf>
    <xf numFmtId="0" fontId="56" fillId="0" borderId="2" xfId="0" applyFont="1" applyFill="1" applyBorder="1" applyAlignment="1">
      <alignment horizontal="center" wrapText="1"/>
    </xf>
    <xf numFmtId="0" fontId="56" fillId="0" borderId="3" xfId="0" applyFont="1" applyFill="1" applyBorder="1" applyAlignment="1">
      <alignment horizontal="center" wrapText="1"/>
    </xf>
    <xf numFmtId="0" fontId="56" fillId="0" borderId="0" xfId="0" applyFont="1" applyFill="1" applyBorder="1" applyAlignment="1">
      <alignment horizontal="left" vertical="top" wrapText="1"/>
    </xf>
    <xf numFmtId="0" fontId="56" fillId="0" borderId="2"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1" fillId="0" borderId="21" xfId="0" applyFont="1" applyBorder="1" applyAlignment="1">
      <alignment horizontal="center"/>
    </xf>
    <xf numFmtId="0" fontId="46" fillId="6" borderId="16" xfId="0" applyFont="1" applyFill="1" applyBorder="1" applyAlignment="1">
      <alignment horizontal="center" vertical="center" wrapText="1"/>
    </xf>
    <xf numFmtId="0" fontId="33" fillId="0" borderId="16" xfId="0" applyFont="1" applyBorder="1" applyAlignment="1">
      <alignment horizontal="center" vertical="center"/>
    </xf>
    <xf numFmtId="0" fontId="6" fillId="0" borderId="0" xfId="0" applyFont="1" applyBorder="1" applyAlignment="1">
      <alignment horizontal="center" vertical="center" wrapText="1"/>
    </xf>
    <xf numFmtId="0" fontId="6" fillId="0" borderId="16" xfId="0" applyFont="1" applyBorder="1" applyAlignment="1">
      <alignment horizontal="center"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0" xfId="0" applyFont="1" applyAlignment="1">
      <alignment horizontal="left" vertical="center" wrapText="1"/>
    </xf>
    <xf numFmtId="0" fontId="12" fillId="0" borderId="81" xfId="0" applyFont="1" applyBorder="1" applyAlignment="1">
      <alignment horizontal="center" vertical="center" wrapText="1"/>
    </xf>
    <xf numFmtId="0" fontId="12" fillId="0" borderId="82"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83" xfId="0" applyFont="1" applyBorder="1" applyAlignment="1">
      <alignment horizontal="center" vertical="center" wrapText="1"/>
    </xf>
    <xf numFmtId="0" fontId="12" fillId="0" borderId="84" xfId="0" applyFont="1" applyBorder="1" applyAlignment="1">
      <alignment horizontal="center" vertical="center" wrapText="1"/>
    </xf>
    <xf numFmtId="0" fontId="12" fillId="0" borderId="78"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78" xfId="0" applyFont="1" applyBorder="1" applyAlignment="1">
      <alignment horizontal="center" vertical="center" wrapText="1"/>
    </xf>
    <xf numFmtId="0" fontId="75" fillId="0" borderId="83" xfId="0" applyFont="1" applyBorder="1" applyAlignment="1">
      <alignment horizontal="center" vertical="center" wrapText="1"/>
    </xf>
    <xf numFmtId="0" fontId="75" fillId="0" borderId="84" xfId="0" applyFont="1" applyBorder="1" applyAlignment="1">
      <alignment horizontal="center" vertical="center" wrapText="1"/>
    </xf>
    <xf numFmtId="0" fontId="76" fillId="0" borderId="81" xfId="0" applyFont="1" applyBorder="1" applyAlignment="1">
      <alignment horizontal="center" vertical="center" wrapText="1"/>
    </xf>
    <xf numFmtId="0" fontId="76" fillId="0" borderId="82" xfId="0" applyFont="1" applyBorder="1" applyAlignment="1">
      <alignment horizontal="center" vertical="center" wrapText="1"/>
    </xf>
    <xf numFmtId="0" fontId="76" fillId="0" borderId="80" xfId="0" applyFont="1" applyBorder="1" applyAlignment="1">
      <alignment horizontal="center" vertical="center" wrapText="1"/>
    </xf>
    <xf numFmtId="0" fontId="76" fillId="0" borderId="0" xfId="0" applyFont="1" applyBorder="1" applyAlignment="1">
      <alignment horizontal="center" vertical="center" wrapText="1"/>
    </xf>
    <xf numFmtId="0" fontId="76" fillId="0" borderId="83" xfId="0" applyFont="1" applyBorder="1" applyAlignment="1">
      <alignment horizontal="center" vertical="center" wrapText="1"/>
    </xf>
    <xf numFmtId="0" fontId="76" fillId="0" borderId="84" xfId="0" applyFont="1" applyBorder="1" applyAlignment="1">
      <alignment horizontal="center" vertical="center" wrapText="1"/>
    </xf>
    <xf numFmtId="0" fontId="53" fillId="0" borderId="0" xfId="0" applyFont="1" applyAlignment="1">
      <alignment horizontal="center" vertical="center"/>
    </xf>
    <xf numFmtId="0" fontId="76" fillId="0" borderId="79" xfId="0" applyFont="1" applyBorder="1" applyAlignment="1">
      <alignment horizontal="center" vertical="center" wrapText="1"/>
    </xf>
    <xf numFmtId="0" fontId="80" fillId="0" borderId="0" xfId="1" applyFont="1" applyAlignment="1">
      <alignment horizontal="left" vertical="center"/>
    </xf>
    <xf numFmtId="0" fontId="70" fillId="0" borderId="0" xfId="0" applyFont="1" applyAlignment="1">
      <alignment horizontal="left" vertical="center" wrapText="1"/>
    </xf>
    <xf numFmtId="0" fontId="76" fillId="0" borderId="78" xfId="0" applyFont="1" applyBorder="1" applyAlignment="1">
      <alignment horizontal="center" vertical="center" wrapText="1"/>
    </xf>
    <xf numFmtId="0" fontId="12" fillId="0" borderId="0" xfId="0" applyFont="1" applyAlignment="1">
      <alignment horizontal="left" wrapText="1"/>
    </xf>
    <xf numFmtId="0" fontId="5" fillId="0" borderId="0" xfId="0" applyFont="1" applyAlignment="1">
      <alignment horizontal="left" wrapText="1"/>
    </xf>
    <xf numFmtId="0" fontId="12" fillId="0" borderId="0" xfId="0" applyFont="1" applyAlignment="1">
      <alignment horizontal="left" vertical="center" wrapText="1"/>
    </xf>
    <xf numFmtId="0" fontId="77" fillId="0" borderId="0" xfId="0" applyFont="1" applyAlignment="1">
      <alignment horizontal="left" vertical="center"/>
    </xf>
    <xf numFmtId="0" fontId="0" fillId="0" borderId="0" xfId="0" applyFont="1" applyAlignment="1">
      <alignment horizontal="left" vertical="center" wrapText="1"/>
    </xf>
    <xf numFmtId="0" fontId="37" fillId="0" borderId="0" xfId="0" applyFont="1" applyAlignment="1">
      <alignment horizontal="left" vertical="top" wrapText="1"/>
    </xf>
    <xf numFmtId="0" fontId="0" fillId="0" borderId="0" xfId="0" applyAlignment="1">
      <alignment horizontal="left" vertical="top" wrapText="1"/>
    </xf>
    <xf numFmtId="0" fontId="2" fillId="0" borderId="0" xfId="1" applyAlignment="1">
      <alignment horizontal="left"/>
    </xf>
    <xf numFmtId="0" fontId="2" fillId="0" borderId="0" xfId="1" applyAlignment="1">
      <alignment horizontal="left" vertical="center"/>
    </xf>
    <xf numFmtId="0" fontId="24" fillId="0" borderId="19" xfId="0" applyFont="1" applyBorder="1" applyAlignment="1">
      <alignment horizontal="left" vertical="center" wrapText="1"/>
    </xf>
    <xf numFmtId="0" fontId="24" fillId="0" borderId="0" xfId="0" applyFont="1" applyBorder="1" applyAlignment="1">
      <alignment horizontal="left" vertical="center" wrapText="1"/>
    </xf>
    <xf numFmtId="0" fontId="24" fillId="0" borderId="20" xfId="0" applyFont="1" applyBorder="1" applyAlignment="1">
      <alignment horizontal="left" vertical="center" wrapText="1"/>
    </xf>
    <xf numFmtId="0" fontId="24" fillId="0" borderId="19" xfId="0" applyFont="1" applyBorder="1" applyAlignment="1">
      <alignment horizontal="left" vertical="top" wrapText="1"/>
    </xf>
    <xf numFmtId="0" fontId="24" fillId="0" borderId="0" xfId="0" applyFont="1" applyBorder="1" applyAlignment="1">
      <alignment horizontal="left" vertical="top" wrapText="1"/>
    </xf>
    <xf numFmtId="0" fontId="24" fillId="0" borderId="20" xfId="0" applyFont="1" applyBorder="1" applyAlignment="1">
      <alignment horizontal="left" vertical="top" wrapText="1"/>
    </xf>
    <xf numFmtId="0" fontId="42" fillId="0" borderId="54" xfId="0" applyFont="1" applyBorder="1" applyAlignment="1">
      <alignment vertical="center" wrapText="1"/>
    </xf>
    <xf numFmtId="0" fontId="42" fillId="0" borderId="53" xfId="0" applyFont="1" applyBorder="1" applyAlignment="1">
      <alignment vertical="center" wrapText="1"/>
    </xf>
    <xf numFmtId="0" fontId="42" fillId="0" borderId="54" xfId="0" applyFont="1" applyBorder="1" applyAlignment="1">
      <alignment vertical="center"/>
    </xf>
    <xf numFmtId="0" fontId="42" fillId="0" borderId="53" xfId="0" applyFont="1" applyBorder="1" applyAlignment="1">
      <alignment vertical="center"/>
    </xf>
    <xf numFmtId="0" fontId="42" fillId="0" borderId="76" xfId="0" applyFont="1" applyBorder="1" applyAlignment="1">
      <alignment vertical="center"/>
    </xf>
    <xf numFmtId="0" fontId="44" fillId="0" borderId="54" xfId="0" applyFont="1" applyBorder="1" applyAlignment="1">
      <alignment vertical="center" wrapText="1"/>
    </xf>
    <xf numFmtId="0" fontId="44" fillId="0" borderId="76" xfId="0" applyFont="1" applyBorder="1" applyAlignment="1">
      <alignment vertical="center" wrapText="1"/>
    </xf>
    <xf numFmtId="0" fontId="44" fillId="0" borderId="53" xfId="0" applyFont="1" applyBorder="1" applyAlignment="1">
      <alignment vertical="center" wrapText="1"/>
    </xf>
    <xf numFmtId="0" fontId="42" fillId="0" borderId="76" xfId="0" applyFont="1" applyBorder="1" applyAlignment="1">
      <alignment vertical="center" wrapText="1"/>
    </xf>
    <xf numFmtId="0" fontId="5" fillId="0" borderId="54" xfId="0" applyFont="1" applyBorder="1" applyAlignment="1">
      <alignment vertical="top" wrapText="1"/>
    </xf>
    <xf numFmtId="0" fontId="5" fillId="0" borderId="53" xfId="0" applyFont="1" applyBorder="1" applyAlignment="1">
      <alignment vertical="top" wrapText="1"/>
    </xf>
    <xf numFmtId="0" fontId="5" fillId="0" borderId="54" xfId="0" applyFont="1" applyBorder="1" applyAlignment="1">
      <alignment vertical="center" wrapText="1"/>
    </xf>
    <xf numFmtId="0" fontId="5" fillId="0" borderId="53" xfId="0" applyFont="1" applyBorder="1" applyAlignment="1">
      <alignment vertical="center" wrapText="1"/>
    </xf>
    <xf numFmtId="0" fontId="5" fillId="0" borderId="54" xfId="0" applyFont="1" applyBorder="1" applyAlignment="1">
      <alignment horizontal="left" vertical="center" wrapText="1"/>
    </xf>
    <xf numFmtId="0" fontId="5" fillId="0" borderId="76" xfId="0" applyFont="1" applyBorder="1" applyAlignment="1">
      <alignment horizontal="left" vertical="center" wrapText="1"/>
    </xf>
    <xf numFmtId="0" fontId="5" fillId="0" borderId="76" xfId="0" applyFont="1" applyBorder="1" applyAlignment="1">
      <alignment vertical="top" wrapText="1"/>
    </xf>
    <xf numFmtId="0" fontId="5" fillId="0" borderId="76" xfId="0" applyFont="1" applyBorder="1" applyAlignment="1">
      <alignment vertical="center" wrapText="1"/>
    </xf>
    <xf numFmtId="0" fontId="5" fillId="0" borderId="18" xfId="0" applyFont="1" applyBorder="1" applyAlignment="1">
      <alignment vertical="top" wrapText="1"/>
    </xf>
    <xf numFmtId="0" fontId="5" fillId="0" borderId="20" xfId="0" applyFont="1" applyBorder="1" applyAlignment="1">
      <alignment vertical="top" wrapText="1"/>
    </xf>
    <xf numFmtId="0" fontId="5" fillId="0" borderId="25" xfId="0" applyFont="1" applyBorder="1" applyAlignment="1">
      <alignment vertical="top" wrapText="1"/>
    </xf>
    <xf numFmtId="0" fontId="5" fillId="0" borderId="54" xfId="0" applyFont="1" applyBorder="1" applyAlignment="1">
      <alignment horizontal="left" vertical="top" wrapText="1"/>
    </xf>
    <xf numFmtId="0" fontId="5" fillId="0" borderId="76" xfId="0" applyFont="1" applyBorder="1" applyAlignment="1">
      <alignment horizontal="left" vertical="top" wrapText="1"/>
    </xf>
    <xf numFmtId="0" fontId="5" fillId="0" borderId="53" xfId="0" applyFont="1" applyBorder="1" applyAlignment="1">
      <alignment horizontal="left" vertical="top" wrapText="1"/>
    </xf>
    <xf numFmtId="0" fontId="6" fillId="0" borderId="0" xfId="0" applyFont="1" applyAlignment="1">
      <alignment horizontal="center" vertical="center" wrapText="1"/>
    </xf>
    <xf numFmtId="0" fontId="0" fillId="0" borderId="0" xfId="0" applyAlignment="1">
      <alignment horizontal="center" vertical="top" wrapText="1"/>
    </xf>
    <xf numFmtId="0" fontId="1" fillId="0" borderId="19" xfId="0" applyFont="1" applyBorder="1" applyAlignment="1">
      <alignment horizontal="center"/>
    </xf>
    <xf numFmtId="0" fontId="1" fillId="0" borderId="0" xfId="0" applyFont="1" applyBorder="1" applyAlignment="1">
      <alignment horizontal="center"/>
    </xf>
  </cellXfs>
  <cellStyles count="2">
    <cellStyle name="Hyperlink" xfId="1" builtinId="8"/>
    <cellStyle name="Normal" xfId="0" builtinId="0"/>
  </cellStyles>
  <dxfs count="5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theme="1" tint="0.14996795556505021"/>
      </font>
      <fill>
        <patternFill>
          <bgColor theme="9" tint="0.39994506668294322"/>
        </patternFill>
      </fill>
    </dxf>
    <dxf>
      <font>
        <b/>
        <i val="0"/>
      </font>
      <fill>
        <patternFill>
          <bgColor theme="8" tint="0.39994506668294322"/>
        </patternFill>
      </fill>
    </dxf>
    <dxf>
      <font>
        <b val="0"/>
        <i val="0"/>
      </font>
      <fill>
        <patternFill>
          <bgColor theme="6" tint="0.39994506668294322"/>
        </patternFill>
      </fill>
    </dxf>
    <dxf>
      <fill>
        <patternFill>
          <bgColor theme="9" tint="0.39994506668294322"/>
        </patternFill>
      </fill>
    </dxf>
    <dxf>
      <fill>
        <patternFill>
          <bgColor theme="5" tint="0.39994506668294322"/>
        </patternFill>
      </fill>
    </dxf>
    <dxf>
      <font>
        <b/>
        <i val="0"/>
      </font>
      <fill>
        <patternFill>
          <bgColor theme="8" tint="0.39994506668294322"/>
        </patternFill>
      </fill>
    </dxf>
    <dxf>
      <font>
        <b val="0"/>
        <i val="0"/>
      </font>
      <fill>
        <patternFill>
          <bgColor theme="6" tint="0.39994506668294322"/>
        </patternFill>
      </fill>
    </dxf>
    <dxf>
      <fill>
        <patternFill>
          <bgColor theme="9" tint="0.39994506668294322"/>
        </patternFill>
      </fill>
    </dxf>
    <dxf>
      <fill>
        <patternFill>
          <bgColor theme="5" tint="0.39994506668294322"/>
        </patternFill>
      </fill>
    </dxf>
    <dxf>
      <font>
        <b/>
        <i val="0"/>
        <color theme="1" tint="0.14996795556505021"/>
      </font>
      <fill>
        <patternFill>
          <bgColor theme="9" tint="0.39994506668294322"/>
        </patternFill>
      </fill>
    </dxf>
    <dxf>
      <font>
        <b/>
        <i val="0"/>
        <color theme="1" tint="0.14996795556505021"/>
      </font>
      <fill>
        <patternFill>
          <bgColor theme="9" tint="0.39994506668294322"/>
        </patternFill>
      </fill>
    </dxf>
    <dxf>
      <font>
        <b/>
        <i val="0"/>
        <color theme="9" tint="-0.24994659260841701"/>
      </font>
      <fill>
        <patternFill>
          <bgColor theme="9" tint="0.79998168889431442"/>
        </patternFill>
      </fill>
    </dxf>
    <dxf>
      <font>
        <b/>
        <i val="0"/>
        <color rgb="FFFF0000"/>
      </font>
      <fill>
        <patternFill>
          <bgColor theme="5" tint="0.79998168889431442"/>
        </patternFill>
      </fill>
    </dxf>
    <dxf>
      <font>
        <b/>
        <i val="0"/>
        <color theme="9" tint="-0.24994659260841701"/>
      </font>
    </dxf>
    <dxf>
      <font>
        <b/>
        <i val="0"/>
        <color theme="5"/>
      </font>
    </dxf>
    <dxf>
      <font>
        <b/>
        <i val="0"/>
      </font>
      <fill>
        <patternFill>
          <bgColor theme="8" tint="0.39994506668294322"/>
        </patternFill>
      </fill>
    </dxf>
    <dxf>
      <font>
        <b val="0"/>
        <i val="0"/>
      </font>
      <fill>
        <patternFill>
          <bgColor theme="6" tint="0.39994506668294322"/>
        </patternFill>
      </fill>
    </dxf>
    <dxf>
      <fill>
        <patternFill>
          <bgColor theme="9" tint="0.39994506668294322"/>
        </patternFill>
      </fill>
    </dxf>
    <dxf>
      <fill>
        <patternFill>
          <bgColor theme="5"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color auto="1"/>
      </font>
      <fill>
        <patternFill>
          <bgColor theme="6" tint="0.39994506668294322"/>
        </patternFill>
      </fill>
    </dxf>
    <dxf>
      <font>
        <b/>
        <i val="0"/>
        <color rgb="FFC00000"/>
      </font>
      <fill>
        <patternFill>
          <bgColor rgb="FFFFFF00"/>
        </patternFill>
      </fill>
    </dxf>
    <dxf>
      <font>
        <b/>
        <i val="0"/>
        <color rgb="FFC00000"/>
      </font>
      <fill>
        <patternFill>
          <bgColor rgb="FFFFFF00"/>
        </patternFill>
      </fill>
    </dxf>
    <dxf>
      <font>
        <b/>
        <i val="0"/>
        <color rgb="FFC00000"/>
      </font>
      <fill>
        <patternFill>
          <bgColor rgb="FFFFFF00"/>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rgb="FFFFFF00"/>
        </patternFill>
      </fill>
    </dxf>
    <dxf>
      <font>
        <b/>
        <i val="0"/>
        <color rgb="FFFF0000"/>
      </font>
      <fill>
        <patternFill>
          <bgColor theme="5" tint="0.79998168889431442"/>
        </patternFill>
      </fill>
    </dxf>
    <dxf>
      <font>
        <b/>
        <i val="0"/>
        <color auto="1"/>
      </font>
      <fill>
        <patternFill>
          <bgColor rgb="FFFF0000"/>
        </patternFill>
      </fill>
    </dxf>
    <dxf>
      <fill>
        <patternFill patternType="solid">
          <bgColor theme="0"/>
        </patternFill>
      </fill>
    </dxf>
    <dxf>
      <font>
        <b/>
        <i val="0"/>
        <color auto="1"/>
      </font>
      <fill>
        <patternFill>
          <bgColor rgb="FFFF0000"/>
        </patternFill>
      </fill>
    </dxf>
  </dxfs>
  <tableStyles count="0" defaultTableStyle="TableStyleMedium2" defaultPivotStyle="PivotStyleLight16"/>
  <colors>
    <mruColors>
      <color rgb="FFB9FFBB"/>
      <color rgb="FF8EDA8A"/>
      <color rgb="FFD9FF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399431276186427E-2"/>
          <c:y val="5.8175127548118689E-2"/>
          <c:w val="0.8998539807177186"/>
          <c:h val="0.8861974573481598"/>
        </c:manualLayout>
      </c:layout>
      <c:scatterChart>
        <c:scatterStyle val="lineMarker"/>
        <c:varyColors val="0"/>
        <c:ser>
          <c:idx val="0"/>
          <c:order val="0"/>
          <c:tx>
            <c:strRef>
              <c:f>'Reference Lists&amp;Tables'!$I$4</c:f>
              <c:strCache>
                <c:ptCount val="1"/>
                <c:pt idx="0">
                  <c:v>Yelarbon bore</c:v>
                </c:pt>
              </c:strCache>
            </c:strRef>
          </c:tx>
          <c:spPr>
            <a:ln w="28575">
              <a:noFill/>
            </a:ln>
          </c:spPr>
          <c:marker>
            <c:symbol val="triangle"/>
            <c:size val="10"/>
            <c:spPr>
              <a:solidFill>
                <a:schemeClr val="tx1"/>
              </a:solidFill>
            </c:spPr>
          </c:marker>
          <c:dLbls>
            <c:dLbl>
              <c:idx val="0"/>
              <c:layout>
                <c:manualLayout>
                  <c:x val="2.772002772002772E-3"/>
                  <c:y val="4.4630397928024992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CC2-4D4E-8A8C-F6476A6C9C2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Lists&amp;Tables'!$J$4</c:f>
              <c:numCache>
                <c:formatCode>General</c:formatCode>
                <c:ptCount val="1"/>
                <c:pt idx="0">
                  <c:v>1.107</c:v>
                </c:pt>
              </c:numCache>
            </c:numRef>
          </c:xVal>
          <c:yVal>
            <c:numRef>
              <c:f>'Reference Lists&amp;Tables'!$L$4</c:f>
              <c:numCache>
                <c:formatCode>General</c:formatCode>
                <c:ptCount val="1"/>
                <c:pt idx="0">
                  <c:v>19</c:v>
                </c:pt>
              </c:numCache>
            </c:numRef>
          </c:yVal>
          <c:smooth val="0"/>
          <c:extLst>
            <c:ext xmlns:c16="http://schemas.microsoft.com/office/drawing/2014/chart" uri="{C3380CC4-5D6E-409C-BE32-E72D297353CC}">
              <c16:uniqueId val="{00000001-ECC2-4D4E-8A8C-F6476A6C9C2D}"/>
            </c:ext>
          </c:extLst>
        </c:ser>
        <c:ser>
          <c:idx val="1"/>
          <c:order val="1"/>
          <c:tx>
            <c:strRef>
              <c:f>'Reference Lists&amp;Tables'!$I$5</c:f>
              <c:strCache>
                <c:ptCount val="1"/>
                <c:pt idx="0">
                  <c:v>Burd 12001253  11/93</c:v>
                </c:pt>
              </c:strCache>
            </c:strRef>
          </c:tx>
          <c:spPr>
            <a:ln w="28575">
              <a:noFill/>
            </a:ln>
          </c:spPr>
          <c:marker>
            <c:symbol val="square"/>
            <c:size val="7"/>
            <c:spPr>
              <a:noFill/>
              <a:ln w="15875">
                <a:solidFill>
                  <a:schemeClr val="tx1"/>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Lists&amp;Tables'!$J$5</c:f>
              <c:numCache>
                <c:formatCode>General</c:formatCode>
                <c:ptCount val="1"/>
                <c:pt idx="0">
                  <c:v>1.35</c:v>
                </c:pt>
              </c:numCache>
            </c:numRef>
          </c:xVal>
          <c:yVal>
            <c:numRef>
              <c:f>'Reference Lists&amp;Tables'!$L$5</c:f>
              <c:numCache>
                <c:formatCode>General</c:formatCode>
                <c:ptCount val="1"/>
                <c:pt idx="0">
                  <c:v>6.5</c:v>
                </c:pt>
              </c:numCache>
            </c:numRef>
          </c:yVal>
          <c:smooth val="0"/>
          <c:extLst>
            <c:ext xmlns:c16="http://schemas.microsoft.com/office/drawing/2014/chart" uri="{C3380CC4-5D6E-409C-BE32-E72D297353CC}">
              <c16:uniqueId val="{00000002-ECC2-4D4E-8A8C-F6476A6C9C2D}"/>
            </c:ext>
          </c:extLst>
        </c:ser>
        <c:ser>
          <c:idx val="2"/>
          <c:order val="2"/>
          <c:tx>
            <c:strRef>
              <c:f>'Reference Lists&amp;Tables'!$I$6</c:f>
              <c:strCache>
                <c:ptCount val="1"/>
                <c:pt idx="0">
                  <c:v>14310218</c:v>
                </c:pt>
              </c:strCache>
            </c:strRef>
          </c:tx>
          <c:spPr>
            <a:ln w="28575">
              <a:noFill/>
            </a:ln>
          </c:spPr>
          <c:marker>
            <c:symbol val="circle"/>
            <c:size val="7"/>
            <c:spPr>
              <a:solidFill>
                <a:schemeClr val="tx1"/>
              </a:solidFill>
              <a:ln>
                <a:no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Lists&amp;Tables'!$J$6</c:f>
              <c:numCache>
                <c:formatCode>General</c:formatCode>
                <c:ptCount val="1"/>
                <c:pt idx="0">
                  <c:v>5.6</c:v>
                </c:pt>
              </c:numCache>
            </c:numRef>
          </c:xVal>
          <c:yVal>
            <c:numRef>
              <c:f>'Reference Lists&amp;Tables'!$L$6</c:f>
              <c:numCache>
                <c:formatCode>General</c:formatCode>
                <c:ptCount val="1"/>
                <c:pt idx="0">
                  <c:v>26</c:v>
                </c:pt>
              </c:numCache>
            </c:numRef>
          </c:yVal>
          <c:smooth val="0"/>
          <c:extLst>
            <c:ext xmlns:c16="http://schemas.microsoft.com/office/drawing/2014/chart" uri="{C3380CC4-5D6E-409C-BE32-E72D297353CC}">
              <c16:uniqueId val="{00000003-ECC2-4D4E-8A8C-F6476A6C9C2D}"/>
            </c:ext>
          </c:extLst>
        </c:ser>
        <c:ser>
          <c:idx val="3"/>
          <c:order val="3"/>
          <c:tx>
            <c:strRef>
              <c:f>'Reference Lists&amp;Tables'!$I$7</c:f>
              <c:strCache>
                <c:ptCount val="1"/>
                <c:pt idx="0">
                  <c:v>Tenthill 14320222</c:v>
                </c:pt>
              </c:strCache>
            </c:strRef>
          </c:tx>
          <c:spPr>
            <a:ln w="28575">
              <a:noFill/>
            </a:ln>
          </c:spPr>
          <c:marker>
            <c:symbol val="diamond"/>
            <c:size val="7"/>
            <c:spPr>
              <a:solidFill>
                <a:schemeClr val="tx1"/>
              </a:solidFill>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Lists&amp;Tables'!$J$7</c:f>
              <c:numCache>
                <c:formatCode>General</c:formatCode>
                <c:ptCount val="1"/>
                <c:pt idx="0">
                  <c:v>3.1</c:v>
                </c:pt>
              </c:numCache>
            </c:numRef>
          </c:xVal>
          <c:yVal>
            <c:numRef>
              <c:f>'Reference Lists&amp;Tables'!$L$7</c:f>
              <c:numCache>
                <c:formatCode>General</c:formatCode>
                <c:ptCount val="1"/>
                <c:pt idx="0">
                  <c:v>2</c:v>
                </c:pt>
              </c:numCache>
            </c:numRef>
          </c:yVal>
          <c:smooth val="0"/>
          <c:extLst>
            <c:ext xmlns:c16="http://schemas.microsoft.com/office/drawing/2014/chart" uri="{C3380CC4-5D6E-409C-BE32-E72D297353CC}">
              <c16:uniqueId val="{00000004-ECC2-4D4E-8A8C-F6476A6C9C2D}"/>
            </c:ext>
          </c:extLst>
        </c:ser>
        <c:ser>
          <c:idx val="4"/>
          <c:order val="4"/>
          <c:tx>
            <c:strRef>
              <c:f>'Reference Lists&amp;Tables'!$I$8</c:f>
              <c:strCache>
                <c:ptCount val="1"/>
                <c:pt idx="0">
                  <c:v>Rainfall - No irrigation </c:v>
                </c:pt>
              </c:strCache>
            </c:strRef>
          </c:tx>
          <c:spPr>
            <a:ln w="28575">
              <a:noFill/>
            </a:ln>
          </c:spPr>
          <c:marker>
            <c:symbol val="square"/>
            <c:size val="7"/>
            <c:spPr>
              <a:solidFill>
                <a:schemeClr val="tx1"/>
              </a:solidFill>
              <a:ln>
                <a:noFill/>
              </a:ln>
            </c:spPr>
          </c:marker>
          <c:dLbls>
            <c:spPr>
              <a:noFill/>
              <a:ln>
                <a:noFill/>
              </a:ln>
              <a:effectLst/>
            </c:sp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Lists&amp;Tables'!$J$8</c:f>
              <c:numCache>
                <c:formatCode>General</c:formatCode>
                <c:ptCount val="1"/>
                <c:pt idx="0">
                  <c:v>0.03</c:v>
                </c:pt>
              </c:numCache>
            </c:numRef>
          </c:xVal>
          <c:yVal>
            <c:numRef>
              <c:f>'Reference Lists&amp;Tables'!$L$8</c:f>
              <c:numCache>
                <c:formatCode>General</c:formatCode>
                <c:ptCount val="1"/>
                <c:pt idx="0">
                  <c:v>0.52</c:v>
                </c:pt>
              </c:numCache>
            </c:numRef>
          </c:yVal>
          <c:smooth val="0"/>
          <c:extLst>
            <c:ext xmlns:c16="http://schemas.microsoft.com/office/drawing/2014/chart" uri="{C3380CC4-5D6E-409C-BE32-E72D297353CC}">
              <c16:uniqueId val="{00000005-ECC2-4D4E-8A8C-F6476A6C9C2D}"/>
            </c:ext>
          </c:extLst>
        </c:ser>
        <c:dLbls>
          <c:showLegendKey val="0"/>
          <c:showVal val="0"/>
          <c:showCatName val="0"/>
          <c:showSerName val="0"/>
          <c:showPercent val="0"/>
          <c:showBubbleSize val="0"/>
        </c:dLbls>
        <c:axId val="294756352"/>
        <c:axId val="294757888"/>
      </c:scatterChart>
      <c:valAx>
        <c:axId val="294756352"/>
        <c:scaling>
          <c:logBase val="10"/>
          <c:orientation val="minMax"/>
          <c:max val="10"/>
          <c:min val="5.000000000000001E-2"/>
        </c:scaling>
        <c:delete val="1"/>
        <c:axPos val="b"/>
        <c:numFmt formatCode="General" sourceLinked="1"/>
        <c:majorTickMark val="out"/>
        <c:minorTickMark val="none"/>
        <c:tickLblPos val="nextTo"/>
        <c:crossAx val="294757888"/>
        <c:crosses val="autoZero"/>
        <c:crossBetween val="midCat"/>
      </c:valAx>
      <c:valAx>
        <c:axId val="294757888"/>
        <c:scaling>
          <c:orientation val="minMax"/>
          <c:max val="30"/>
        </c:scaling>
        <c:delete val="1"/>
        <c:axPos val="l"/>
        <c:majorGridlines>
          <c:spPr>
            <a:ln>
              <a:noFill/>
            </a:ln>
          </c:spPr>
        </c:majorGridlines>
        <c:numFmt formatCode="General" sourceLinked="1"/>
        <c:majorTickMark val="out"/>
        <c:minorTickMark val="none"/>
        <c:tickLblPos val="nextTo"/>
        <c:crossAx val="294756352"/>
        <c:crossesAt val="5.000000000000001E-2"/>
        <c:crossBetween val="midCat"/>
        <c:maj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04547857477873E-2"/>
          <c:y val="6.3256742402098831E-2"/>
          <c:w val="0.82676872548978919"/>
          <c:h val="0.83498103187711559"/>
        </c:manualLayout>
      </c:layout>
      <c:scatterChart>
        <c:scatterStyle val="smoothMarker"/>
        <c:varyColors val="0"/>
        <c:ser>
          <c:idx val="0"/>
          <c:order val="0"/>
          <c:tx>
            <c:v>Profile 1</c:v>
          </c:tx>
          <c:marker>
            <c:symbol val="none"/>
          </c:marker>
          <c:xVal>
            <c:numRef>
              <c:f>'Reference Lists&amp;Tables'!$A$47:$A$108</c:f>
              <c:numCache>
                <c:formatCode>General</c:formatCode>
                <c:ptCount val="62"/>
                <c:pt idx="0">
                  <c:v>0.01</c:v>
                </c:pt>
                <c:pt idx="1">
                  <c:v>0.04</c:v>
                </c:pt>
                <c:pt idx="2">
                  <c:v>0.08</c:v>
                </c:pt>
                <c:pt idx="3">
                  <c:v>0.12</c:v>
                </c:pt>
                <c:pt idx="4">
                  <c:v>0.16</c:v>
                </c:pt>
                <c:pt idx="5">
                  <c:v>0.2</c:v>
                </c:pt>
                <c:pt idx="6">
                  <c:v>0.3</c:v>
                </c:pt>
                <c:pt idx="7">
                  <c:v>0.4</c:v>
                </c:pt>
                <c:pt idx="8">
                  <c:v>0.5</c:v>
                </c:pt>
                <c:pt idx="9">
                  <c:v>0.6</c:v>
                </c:pt>
                <c:pt idx="10">
                  <c:v>0.7</c:v>
                </c:pt>
                <c:pt idx="11">
                  <c:v>0.8</c:v>
                </c:pt>
                <c:pt idx="12">
                  <c:v>0.9</c:v>
                </c:pt>
                <c:pt idx="13">
                  <c:v>1</c:v>
                </c:pt>
                <c:pt idx="14">
                  <c:v>1.1000000000000001</c:v>
                </c:pt>
                <c:pt idx="15">
                  <c:v>1.2</c:v>
                </c:pt>
                <c:pt idx="16">
                  <c:v>1.3</c:v>
                </c:pt>
                <c:pt idx="17">
                  <c:v>1.4</c:v>
                </c:pt>
                <c:pt idx="18">
                  <c:v>1.5</c:v>
                </c:pt>
                <c:pt idx="19">
                  <c:v>1.6</c:v>
                </c:pt>
                <c:pt idx="20">
                  <c:v>1.7</c:v>
                </c:pt>
                <c:pt idx="21">
                  <c:v>1.8</c:v>
                </c:pt>
                <c:pt idx="22">
                  <c:v>1.9</c:v>
                </c:pt>
                <c:pt idx="23">
                  <c:v>2</c:v>
                </c:pt>
                <c:pt idx="24">
                  <c:v>2.1</c:v>
                </c:pt>
                <c:pt idx="25">
                  <c:v>2.2000000000000002</c:v>
                </c:pt>
                <c:pt idx="26">
                  <c:v>2.2999999999999998</c:v>
                </c:pt>
                <c:pt idx="27">
                  <c:v>2.4</c:v>
                </c:pt>
                <c:pt idx="28">
                  <c:v>2.5</c:v>
                </c:pt>
                <c:pt idx="29">
                  <c:v>2.6</c:v>
                </c:pt>
                <c:pt idx="30">
                  <c:v>2.7</c:v>
                </c:pt>
                <c:pt idx="31">
                  <c:v>2.8</c:v>
                </c:pt>
                <c:pt idx="32">
                  <c:v>2.9</c:v>
                </c:pt>
                <c:pt idx="33">
                  <c:v>3</c:v>
                </c:pt>
                <c:pt idx="34">
                  <c:v>3.1</c:v>
                </c:pt>
                <c:pt idx="35">
                  <c:v>3.2</c:v>
                </c:pt>
                <c:pt idx="36">
                  <c:v>3.3</c:v>
                </c:pt>
                <c:pt idx="37">
                  <c:v>3.4</c:v>
                </c:pt>
                <c:pt idx="38">
                  <c:v>3.5</c:v>
                </c:pt>
                <c:pt idx="39">
                  <c:v>3.6</c:v>
                </c:pt>
                <c:pt idx="40">
                  <c:v>3.7</c:v>
                </c:pt>
                <c:pt idx="41">
                  <c:v>3.8</c:v>
                </c:pt>
                <c:pt idx="42">
                  <c:v>3.9</c:v>
                </c:pt>
                <c:pt idx="43">
                  <c:v>4</c:v>
                </c:pt>
                <c:pt idx="44">
                  <c:v>4.0999999999999996</c:v>
                </c:pt>
                <c:pt idx="45">
                  <c:v>4.2</c:v>
                </c:pt>
                <c:pt idx="46">
                  <c:v>4.3</c:v>
                </c:pt>
                <c:pt idx="47">
                  <c:v>4.4000000000000004</c:v>
                </c:pt>
                <c:pt idx="48">
                  <c:v>4.5</c:v>
                </c:pt>
                <c:pt idx="49">
                  <c:v>4.5999999999999996</c:v>
                </c:pt>
                <c:pt idx="50">
                  <c:v>4.7</c:v>
                </c:pt>
                <c:pt idx="51">
                  <c:v>4.8</c:v>
                </c:pt>
                <c:pt idx="52">
                  <c:v>4.9000000000000004</c:v>
                </c:pt>
                <c:pt idx="53">
                  <c:v>5</c:v>
                </c:pt>
                <c:pt idx="54">
                  <c:v>5.0999999999999996</c:v>
                </c:pt>
                <c:pt idx="55">
                  <c:v>5.1999999999999904</c:v>
                </c:pt>
                <c:pt idx="56">
                  <c:v>5.2999999999999901</c:v>
                </c:pt>
                <c:pt idx="57">
                  <c:v>5.3999999999999897</c:v>
                </c:pt>
                <c:pt idx="58">
                  <c:v>5.4999999999999902</c:v>
                </c:pt>
                <c:pt idx="59">
                  <c:v>5.5999999999999899</c:v>
                </c:pt>
                <c:pt idx="60">
                  <c:v>5.6999999999999904</c:v>
                </c:pt>
                <c:pt idx="61">
                  <c:v>5.7999999999999901</c:v>
                </c:pt>
              </c:numCache>
            </c:numRef>
          </c:xVal>
          <c:yVal>
            <c:numRef>
              <c:f>'Reference Lists&amp;Tables'!$B$47:$B$108</c:f>
              <c:numCache>
                <c:formatCode>General</c:formatCode>
                <c:ptCount val="62"/>
                <c:pt idx="0">
                  <c:v>8.9038907338053919E-2</c:v>
                </c:pt>
                <c:pt idx="1">
                  <c:v>0.36637577636818258</c:v>
                </c:pt>
                <c:pt idx="2">
                  <c:v>0.74319061490755745</c:v>
                </c:pt>
                <c:pt idx="3">
                  <c:v>1.1240488222802583</c:v>
                </c:pt>
                <c:pt idx="4">
                  <c:v>1.5075567919960331</c:v>
                </c:pt>
                <c:pt idx="5">
                  <c:v>1.8930472328119936</c:v>
                </c:pt>
                <c:pt idx="6">
                  <c:v>2.8631652094098374</c:v>
                </c:pt>
                <c:pt idx="7">
                  <c:v>3.8400326324761216</c:v>
                </c:pt>
                <c:pt idx="8">
                  <c:v>4.8219497848514914</c:v>
                </c:pt>
                <c:pt idx="9">
                  <c:v>5.8079099378689589</c:v>
                </c:pt>
                <c:pt idx="10">
                  <c:v>6.7972449991615056</c:v>
                </c:pt>
                <c:pt idx="11">
                  <c:v>7.7894784466510831</c:v>
                </c:pt>
                <c:pt idx="12">
                  <c:v>8.7842529152274746</c:v>
                </c:pt>
                <c:pt idx="13">
                  <c:v>9.7812902948470164</c:v>
                </c:pt>
                <c:pt idx="14">
                  <c:v>10.780367899290489</c:v>
                </c:pt>
                <c:pt idx="15">
                  <c:v>11.781303340630451</c:v>
                </c:pt>
                <c:pt idx="16">
                  <c:v>12.783944460297539</c:v>
                </c:pt>
                <c:pt idx="17">
                  <c:v>13.788162363462586</c:v>
                </c:pt>
                <c:pt idx="18">
                  <c:v>14.793846444995394</c:v>
                </c:pt>
                <c:pt idx="19">
                  <c:v>15.800900741751461</c:v>
                </c:pt>
                <c:pt idx="20">
                  <c:v>16.809241196167349</c:v>
                </c:pt>
                <c:pt idx="21">
                  <c:v>17.818793562953356</c:v>
                </c:pt>
                <c:pt idx="22">
                  <c:v>18.829491780219879</c:v>
                </c:pt>
                <c:pt idx="23">
                  <c:v>19.841276682854339</c:v>
                </c:pt>
                <c:pt idx="24">
                  <c:v>20.854094972642923</c:v>
                </c:pt>
                <c:pt idx="25">
                  <c:v>21.867898384067871</c:v>
                </c:pt>
                <c:pt idx="26">
                  <c:v>22.882643001363931</c:v>
                </c:pt>
                <c:pt idx="27">
                  <c:v>23.898288694001067</c:v>
                </c:pt>
                <c:pt idx="28">
                  <c:v>24.914798645962616</c:v>
                </c:pt>
                <c:pt idx="29">
                  <c:v>25.932138960095504</c:v>
                </c:pt>
                <c:pt idx="30">
                  <c:v>26.950278323124589</c:v>
                </c:pt>
                <c:pt idx="31">
                  <c:v>27.969187720121617</c:v>
                </c:pt>
                <c:pt idx="32">
                  <c:v>28.988840189618301</c:v>
                </c:pt>
                <c:pt idx="33">
                  <c:v>30.009210612372037</c:v>
                </c:pt>
                <c:pt idx="34">
                  <c:v>31.030275528190657</c:v>
                </c:pt>
                <c:pt idx="35">
                  <c:v>32.052012976301555</c:v>
                </c:pt>
                <c:pt idx="36">
                  <c:v>33.074402355596675</c:v>
                </c:pt>
                <c:pt idx="37">
                  <c:v>34.097424301750166</c:v>
                </c:pt>
                <c:pt idx="38">
                  <c:v>35.121060578734578</c:v>
                </c:pt>
                <c:pt idx="39">
                  <c:v>36.14529398268423</c:v>
                </c:pt>
                <c:pt idx="40">
                  <c:v>37.170108256396617</c:v>
                </c:pt>
                <c:pt idx="41">
                  <c:v>38.195488013038023</c:v>
                </c:pt>
                <c:pt idx="42">
                  <c:v>39.221418667846201</c:v>
                </c:pt>
                <c:pt idx="43">
                  <c:v>40.247886376808189</c:v>
                </c:pt>
                <c:pt idx="44">
                  <c:v>41.274877981443851</c:v>
                </c:pt>
                <c:pt idx="45">
                  <c:v>42.302380958953201</c:v>
                </c:pt>
                <c:pt idx="46">
                  <c:v>43.330383377090655</c:v>
                </c:pt>
                <c:pt idx="47">
                  <c:v>44.358873853218995</c:v>
                </c:pt>
                <c:pt idx="48">
                  <c:v>45.387841517068637</c:v>
                </c:pt>
                <c:pt idx="49">
                  <c:v>46.417275976793157</c:v>
                </c:pt>
                <c:pt idx="50">
                  <c:v>47.44716728796287</c:v>
                </c:pt>
                <c:pt idx="51">
                  <c:v>48.477505925185447</c:v>
                </c:pt>
                <c:pt idx="52">
                  <c:v>49.508282756081073</c:v>
                </c:pt>
                <c:pt idx="53">
                  <c:v>50.539489017372112</c:v>
                </c:pt>
                <c:pt idx="54">
                  <c:v>51.571116292877164</c:v>
                </c:pt>
                <c:pt idx="55">
                  <c:v>52.603156493222947</c:v>
                </c:pt>
                <c:pt idx="56">
                  <c:v>53.635601837110222</c:v>
                </c:pt>
                <c:pt idx="57">
                  <c:v>54.668444833985873</c:v>
                </c:pt>
                <c:pt idx="58">
                  <c:v>55.701678267994119</c:v>
                </c:pt>
                <c:pt idx="59">
                  <c:v>56.735295183088503</c:v>
                </c:pt>
                <c:pt idx="60">
                  <c:v>57.769288869202633</c:v>
                </c:pt>
                <c:pt idx="61">
                  <c:v>58.803652849387106</c:v>
                </c:pt>
              </c:numCache>
            </c:numRef>
          </c:yVal>
          <c:smooth val="1"/>
          <c:extLst>
            <c:ext xmlns:c16="http://schemas.microsoft.com/office/drawing/2014/chart" uri="{C3380CC4-5D6E-409C-BE32-E72D297353CC}">
              <c16:uniqueId val="{00000000-085C-47D3-ADA1-4E1DF728BE3A}"/>
            </c:ext>
          </c:extLst>
        </c:ser>
        <c:ser>
          <c:idx val="1"/>
          <c:order val="1"/>
          <c:tx>
            <c:v>EC i+r vs SAR</c:v>
          </c:tx>
          <c:marker>
            <c:symbol val="circle"/>
            <c:size val="5"/>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Lists&amp;Tables'!$O$3</c:f>
              <c:numCache>
                <c:formatCode>General</c:formatCode>
                <c:ptCount val="1"/>
                <c:pt idx="0">
                  <c:v>1.1352</c:v>
                </c:pt>
              </c:numCache>
            </c:numRef>
          </c:xVal>
          <c:yVal>
            <c:numRef>
              <c:f>'Reference Lists&amp;Tables'!$P$3</c:f>
              <c:numCache>
                <c:formatCode>General</c:formatCode>
                <c:ptCount val="1"/>
                <c:pt idx="0">
                  <c:v>2</c:v>
                </c:pt>
              </c:numCache>
            </c:numRef>
          </c:yVal>
          <c:smooth val="1"/>
          <c:extLst>
            <c:ext xmlns:c16="http://schemas.microsoft.com/office/drawing/2014/chart" uri="{C3380CC4-5D6E-409C-BE32-E72D297353CC}">
              <c16:uniqueId val="{00000001-085C-47D3-ADA1-4E1DF728BE3A}"/>
            </c:ext>
          </c:extLst>
        </c:ser>
        <c:ser>
          <c:idx val="2"/>
          <c:order val="2"/>
          <c:tx>
            <c:v>EC i+r vs SAR adj Ca</c:v>
          </c:tx>
          <c:marker>
            <c:symbol val="square"/>
            <c:size val="5"/>
            <c:spPr>
              <a:solidFill>
                <a:srgbClr val="92D050"/>
              </a:solidFill>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Lists&amp;Tables'!$O$3</c:f>
              <c:numCache>
                <c:formatCode>General</c:formatCode>
                <c:ptCount val="1"/>
                <c:pt idx="0">
                  <c:v>1.1352</c:v>
                </c:pt>
              </c:numCache>
            </c:numRef>
          </c:xVal>
          <c:yVal>
            <c:numRef>
              <c:f>'Reference Lists&amp;Tables'!$Q$3</c:f>
              <c:numCache>
                <c:formatCode>General</c:formatCode>
                <c:ptCount val="1"/>
                <c:pt idx="0">
                  <c:v>2.2510196371999172</c:v>
                </c:pt>
              </c:numCache>
            </c:numRef>
          </c:yVal>
          <c:smooth val="1"/>
          <c:extLst>
            <c:ext xmlns:c16="http://schemas.microsoft.com/office/drawing/2014/chart" uri="{C3380CC4-5D6E-409C-BE32-E72D297353CC}">
              <c16:uniqueId val="{00000002-085C-47D3-ADA1-4E1DF728BE3A}"/>
            </c:ext>
          </c:extLst>
        </c:ser>
        <c:dLbls>
          <c:showLegendKey val="0"/>
          <c:showVal val="0"/>
          <c:showCatName val="0"/>
          <c:showSerName val="0"/>
          <c:showPercent val="0"/>
          <c:showBubbleSize val="0"/>
        </c:dLbls>
        <c:axId val="277672320"/>
        <c:axId val="277673856"/>
      </c:scatterChart>
      <c:valAx>
        <c:axId val="277672320"/>
        <c:scaling>
          <c:logBase val="10"/>
          <c:orientation val="minMax"/>
          <c:max val="10"/>
          <c:min val="5.000000000000001E-2"/>
        </c:scaling>
        <c:delete val="0"/>
        <c:axPos val="b"/>
        <c:numFmt formatCode="General" sourceLinked="1"/>
        <c:majorTickMark val="none"/>
        <c:minorTickMark val="none"/>
        <c:tickLblPos val="none"/>
        <c:spPr>
          <a:noFill/>
          <a:ln>
            <a:noFill/>
          </a:ln>
        </c:spPr>
        <c:crossAx val="277673856"/>
        <c:crosses val="autoZero"/>
        <c:crossBetween val="midCat"/>
        <c:majorUnit val="10"/>
        <c:minorUnit val="10"/>
      </c:valAx>
      <c:valAx>
        <c:axId val="277673856"/>
        <c:scaling>
          <c:orientation val="minMax"/>
          <c:max val="30"/>
        </c:scaling>
        <c:delete val="0"/>
        <c:axPos val="l"/>
        <c:majorGridlines>
          <c:spPr>
            <a:ln>
              <a:noFill/>
            </a:ln>
          </c:spPr>
        </c:majorGridlines>
        <c:numFmt formatCode="General" sourceLinked="1"/>
        <c:majorTickMark val="none"/>
        <c:minorTickMark val="none"/>
        <c:tickLblPos val="none"/>
        <c:spPr>
          <a:noFill/>
          <a:ln>
            <a:noFill/>
          </a:ln>
        </c:spPr>
        <c:crossAx val="277672320"/>
        <c:crossesAt val="5.000000000000001E-2"/>
        <c:crossBetween val="midCat"/>
        <c:majorUnit val="5"/>
        <c:min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023139011718524E-2"/>
          <c:y val="7.027930196340984E-2"/>
          <c:w val="0.82905938019542824"/>
          <c:h val="0.8251750033167019"/>
        </c:manualLayout>
      </c:layout>
      <c:scatterChart>
        <c:scatterStyle val="smoothMarker"/>
        <c:varyColors val="0"/>
        <c:ser>
          <c:idx val="0"/>
          <c:order val="0"/>
          <c:tx>
            <c:v>Profile 2</c:v>
          </c:tx>
          <c:marker>
            <c:symbol val="none"/>
          </c:marker>
          <c:xVal>
            <c:numRef>
              <c:f>'Reference Lists&amp;Tables'!$C$47:$C$108</c:f>
              <c:numCache>
                <c:formatCode>General</c:formatCode>
                <c:ptCount val="62"/>
                <c:pt idx="0">
                  <c:v>0.01</c:v>
                </c:pt>
                <c:pt idx="1">
                  <c:v>0.04</c:v>
                </c:pt>
                <c:pt idx="2">
                  <c:v>0.08</c:v>
                </c:pt>
                <c:pt idx="3">
                  <c:v>0.12</c:v>
                </c:pt>
                <c:pt idx="4">
                  <c:v>0.16</c:v>
                </c:pt>
                <c:pt idx="5">
                  <c:v>0.2</c:v>
                </c:pt>
                <c:pt idx="6">
                  <c:v>0.3</c:v>
                </c:pt>
                <c:pt idx="7">
                  <c:v>0.4</c:v>
                </c:pt>
                <c:pt idx="8">
                  <c:v>0.5</c:v>
                </c:pt>
                <c:pt idx="9">
                  <c:v>0.6</c:v>
                </c:pt>
                <c:pt idx="10">
                  <c:v>0.7</c:v>
                </c:pt>
                <c:pt idx="11">
                  <c:v>0.8</c:v>
                </c:pt>
                <c:pt idx="12">
                  <c:v>0.9</c:v>
                </c:pt>
                <c:pt idx="13">
                  <c:v>1</c:v>
                </c:pt>
                <c:pt idx="14">
                  <c:v>1.1000000000000001</c:v>
                </c:pt>
                <c:pt idx="15">
                  <c:v>1.2</c:v>
                </c:pt>
                <c:pt idx="16">
                  <c:v>1.3</c:v>
                </c:pt>
                <c:pt idx="17">
                  <c:v>1.4</c:v>
                </c:pt>
                <c:pt idx="18">
                  <c:v>1.5</c:v>
                </c:pt>
                <c:pt idx="19">
                  <c:v>1.6</c:v>
                </c:pt>
                <c:pt idx="20">
                  <c:v>1.7</c:v>
                </c:pt>
                <c:pt idx="21">
                  <c:v>1.8</c:v>
                </c:pt>
                <c:pt idx="22">
                  <c:v>1.9</c:v>
                </c:pt>
                <c:pt idx="23">
                  <c:v>2</c:v>
                </c:pt>
                <c:pt idx="24">
                  <c:v>2.1</c:v>
                </c:pt>
                <c:pt idx="25">
                  <c:v>2.2000000000000002</c:v>
                </c:pt>
                <c:pt idx="26">
                  <c:v>2.2999999999999998</c:v>
                </c:pt>
                <c:pt idx="27">
                  <c:v>2.4</c:v>
                </c:pt>
                <c:pt idx="28">
                  <c:v>2.5</c:v>
                </c:pt>
                <c:pt idx="29">
                  <c:v>2.6</c:v>
                </c:pt>
                <c:pt idx="30">
                  <c:v>2.7</c:v>
                </c:pt>
                <c:pt idx="31">
                  <c:v>2.8</c:v>
                </c:pt>
                <c:pt idx="32">
                  <c:v>2.9</c:v>
                </c:pt>
                <c:pt idx="33">
                  <c:v>3</c:v>
                </c:pt>
                <c:pt idx="34">
                  <c:v>3.1</c:v>
                </c:pt>
                <c:pt idx="35">
                  <c:v>3.2</c:v>
                </c:pt>
                <c:pt idx="36">
                  <c:v>3.3</c:v>
                </c:pt>
                <c:pt idx="37">
                  <c:v>3.4</c:v>
                </c:pt>
                <c:pt idx="38">
                  <c:v>3.5</c:v>
                </c:pt>
                <c:pt idx="39">
                  <c:v>3.6</c:v>
                </c:pt>
                <c:pt idx="40">
                  <c:v>3.7</c:v>
                </c:pt>
                <c:pt idx="41">
                  <c:v>3.8</c:v>
                </c:pt>
                <c:pt idx="42">
                  <c:v>3.9</c:v>
                </c:pt>
                <c:pt idx="43">
                  <c:v>4</c:v>
                </c:pt>
                <c:pt idx="44">
                  <c:v>4.0999999999999996</c:v>
                </c:pt>
                <c:pt idx="45">
                  <c:v>4.2</c:v>
                </c:pt>
                <c:pt idx="46">
                  <c:v>4.3</c:v>
                </c:pt>
                <c:pt idx="47">
                  <c:v>4.4000000000000004</c:v>
                </c:pt>
                <c:pt idx="48">
                  <c:v>4.5</c:v>
                </c:pt>
                <c:pt idx="49">
                  <c:v>4.5999999999999996</c:v>
                </c:pt>
                <c:pt idx="50">
                  <c:v>4.7</c:v>
                </c:pt>
                <c:pt idx="51">
                  <c:v>4.8</c:v>
                </c:pt>
                <c:pt idx="52">
                  <c:v>4.9000000000000004</c:v>
                </c:pt>
                <c:pt idx="53">
                  <c:v>5</c:v>
                </c:pt>
                <c:pt idx="54">
                  <c:v>5.0999999999999996</c:v>
                </c:pt>
                <c:pt idx="55">
                  <c:v>5.1999999999999904</c:v>
                </c:pt>
                <c:pt idx="56">
                  <c:v>5.2999999999999901</c:v>
                </c:pt>
                <c:pt idx="57">
                  <c:v>5.3999999999999897</c:v>
                </c:pt>
                <c:pt idx="58">
                  <c:v>5.4999999999999902</c:v>
                </c:pt>
                <c:pt idx="59">
                  <c:v>5.5999999999999899</c:v>
                </c:pt>
                <c:pt idx="60">
                  <c:v>5.6999999999999904</c:v>
                </c:pt>
                <c:pt idx="61">
                  <c:v>5.7999999999999901</c:v>
                </c:pt>
              </c:numCache>
            </c:numRef>
          </c:xVal>
          <c:yVal>
            <c:numRef>
              <c:f>'Reference Lists&amp;Tables'!$D$47:$D$108</c:f>
              <c:numCache>
                <c:formatCode>General</c:formatCode>
                <c:ptCount val="62"/>
                <c:pt idx="0">
                  <c:v>0.11464755200949552</c:v>
                </c:pt>
                <c:pt idx="1">
                  <c:v>0.57794325013532044</c:v>
                </c:pt>
                <c:pt idx="2">
                  <c:v>1.2976136366442879</c:v>
                </c:pt>
                <c:pt idx="3">
                  <c:v>2.0826651448387397</c:v>
                </c:pt>
                <c:pt idx="4">
                  <c:v>2.9134368289809878</c:v>
                </c:pt>
                <c:pt idx="5">
                  <c:v>3.7799506902790156</c:v>
                </c:pt>
                <c:pt idx="6">
                  <c:v>6.0668070445157314</c:v>
                </c:pt>
                <c:pt idx="7">
                  <c:v>8.4868463476311842</c:v>
                </c:pt>
                <c:pt idx="8">
                  <c:v>11.011002672483135</c:v>
                </c:pt>
                <c:pt idx="9">
                  <c:v>13.62135737377328</c:v>
                </c:pt>
                <c:pt idx="10">
                  <c:v>16.305645452531778</c:v>
                </c:pt>
                <c:pt idx="11">
                  <c:v>19.054894317413485</c:v>
                </c:pt>
                <c:pt idx="12">
                  <c:v>21.862228807268952</c:v>
                </c:pt>
                <c:pt idx="13">
                  <c:v>24.722197581848022</c:v>
                </c:pt>
                <c:pt idx="14">
                  <c:v>27.630362895933356</c:v>
                </c:pt>
                <c:pt idx="15">
                  <c:v>30.583035745594277</c:v>
                </c:pt>
                <c:pt idx="16">
                  <c:v>33.577096852002128</c:v>
                </c:pt>
                <c:pt idx="17">
                  <c:v>36.609871105057636</c:v>
                </c:pt>
                <c:pt idx="18">
                  <c:v>39.679036774523198</c:v>
                </c:pt>
                <c:pt idx="19">
                  <c:v>42.782558158265751</c:v>
                </c:pt>
                <c:pt idx="20">
                  <c:v>45.918634515147346</c:v>
                </c:pt>
                <c:pt idx="21">
                  <c:v>49.085660609597042</c:v>
                </c:pt>
                <c:pt idx="22">
                  <c:v>52.282195723435571</c:v>
                </c:pt>
                <c:pt idx="23">
                  <c:v>55.506938964178957</c:v>
                </c:pt>
                <c:pt idx="24">
                  <c:v>58.758709337179695</c:v>
                </c:pt>
                <c:pt idx="25">
                  <c:v>62.03642947780547</c:v>
                </c:pt>
                <c:pt idx="26">
                  <c:v>65.339112234517017</c:v>
                </c:pt>
                <c:pt idx="27">
                  <c:v>68.66584950022505</c:v>
                </c:pt>
                <c:pt idx="28">
                  <c:v>72.015802836647907</c:v>
                </c:pt>
                <c:pt idx="29">
                  <c:v>75.388195543217037</c:v>
                </c:pt>
                <c:pt idx="30">
                  <c:v>78.782305900670323</c:v>
                </c:pt>
                <c:pt idx="31">
                  <c:v>82.197461378066876</c:v>
                </c:pt>
                <c:pt idx="32">
                  <c:v>85.633033636179348</c:v>
                </c:pt>
                <c:pt idx="33">
                  <c:v>89.088434193973214</c:v>
                </c:pt>
                <c:pt idx="34">
                  <c:v>92.563110650910389</c:v>
                </c:pt>
                <c:pt idx="35">
                  <c:v>96.056543378081798</c:v>
                </c:pt>
                <c:pt idx="36">
                  <c:v>99.568242607093978</c:v>
                </c:pt>
                <c:pt idx="37">
                  <c:v>103.09774585824641</c:v>
                </c:pt>
                <c:pt idx="38">
                  <c:v>106.64461565960197</c:v>
                </c:pt>
                <c:pt idx="39">
                  <c:v>110.20843751664722</c:v>
                </c:pt>
                <c:pt idx="40">
                  <c:v>113.78881809879458</c:v>
                </c:pt>
                <c:pt idx="41">
                  <c:v>117.38538361430996</c:v>
                </c:pt>
                <c:pt idx="42">
                  <c:v>120.99777834963197</c:v>
                </c:pt>
                <c:pt idx="43">
                  <c:v>124.62566335264984</c:v>
                </c:pt>
                <c:pt idx="44">
                  <c:v>128.2687152424979</c:v>
                </c:pt>
                <c:pt idx="45">
                  <c:v>131.92662513091048</c:v>
                </c:pt>
                <c:pt idx="46">
                  <c:v>135.5990976422687</c:v>
                </c:pt>
                <c:pt idx="47">
                  <c:v>139.28585002121551</c:v>
                </c:pt>
                <c:pt idx="48">
                  <c:v>142.9866113181962</c:v>
                </c:pt>
                <c:pt idx="49">
                  <c:v>146.70112164453724</c:v>
                </c:pt>
                <c:pt idx="50">
                  <c:v>150.42913148973776</c:v>
                </c:pt>
                <c:pt idx="51">
                  <c:v>154.17040109456065</c:v>
                </c:pt>
                <c:pt idx="52">
                  <c:v>157.92469987429749</c:v>
                </c:pt>
                <c:pt idx="53">
                  <c:v>161.69180588723987</c:v>
                </c:pt>
                <c:pt idx="54">
                  <c:v>165.47150534398466</c:v>
                </c:pt>
                <c:pt idx="55">
                  <c:v>169.26359215369243</c:v>
                </c:pt>
                <c:pt idx="56">
                  <c:v>173.06786750385965</c:v>
                </c:pt>
                <c:pt idx="57">
                  <c:v>176.88413947053689</c:v>
                </c:pt>
                <c:pt idx="58">
                  <c:v>180.7122226562706</c:v>
                </c:pt>
                <c:pt idx="59">
                  <c:v>184.55193785332361</c:v>
                </c:pt>
                <c:pt idx="60">
                  <c:v>188.40311172998611</c:v>
                </c:pt>
                <c:pt idx="61">
                  <c:v>192.26557653802118</c:v>
                </c:pt>
              </c:numCache>
            </c:numRef>
          </c:yVal>
          <c:smooth val="1"/>
          <c:extLst>
            <c:ext xmlns:c16="http://schemas.microsoft.com/office/drawing/2014/chart" uri="{C3380CC4-5D6E-409C-BE32-E72D297353CC}">
              <c16:uniqueId val="{00000000-4A3A-4A0A-831D-BEF79BD23409}"/>
            </c:ext>
          </c:extLst>
        </c:ser>
        <c:ser>
          <c:idx val="1"/>
          <c:order val="1"/>
          <c:tx>
            <c:v>EC i+r vs SAR</c:v>
          </c:tx>
          <c:marker>
            <c:symbol val="circle"/>
            <c:size val="7"/>
            <c:spPr>
              <a:noFill/>
              <a:ln w="38100"/>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Lists&amp;Tables'!$O$4</c:f>
              <c:numCache>
                <c:formatCode>General</c:formatCode>
                <c:ptCount val="1"/>
                <c:pt idx="0">
                  <c:v>0.41354700854700854</c:v>
                </c:pt>
              </c:numCache>
            </c:numRef>
          </c:xVal>
          <c:yVal>
            <c:numRef>
              <c:f>'Reference Lists&amp;Tables'!$P$4</c:f>
              <c:numCache>
                <c:formatCode>General</c:formatCode>
                <c:ptCount val="1"/>
                <c:pt idx="0">
                  <c:v>19</c:v>
                </c:pt>
              </c:numCache>
            </c:numRef>
          </c:yVal>
          <c:smooth val="1"/>
          <c:extLst>
            <c:ext xmlns:c16="http://schemas.microsoft.com/office/drawing/2014/chart" uri="{C3380CC4-5D6E-409C-BE32-E72D297353CC}">
              <c16:uniqueId val="{00000001-4A3A-4A0A-831D-BEF79BD23409}"/>
            </c:ext>
          </c:extLst>
        </c:ser>
        <c:ser>
          <c:idx val="2"/>
          <c:order val="2"/>
          <c:tx>
            <c:v>EC i+r vs SAR adj Ca</c:v>
          </c:tx>
          <c:marker>
            <c:symbol val="circle"/>
            <c:size val="7"/>
            <c:spPr>
              <a:noFill/>
              <a:ln w="38100">
                <a:solidFill>
                  <a:srgbClr val="FFC000"/>
                </a:solidFill>
              </a:ln>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Lists&amp;Tables'!$O$4</c:f>
              <c:numCache>
                <c:formatCode>General</c:formatCode>
                <c:ptCount val="1"/>
                <c:pt idx="0">
                  <c:v>0.41354700854700854</c:v>
                </c:pt>
              </c:numCache>
            </c:numRef>
          </c:xVal>
          <c:yVal>
            <c:numRef>
              <c:f>'Reference Lists&amp;Tables'!$Q$4</c:f>
              <c:numCache>
                <c:formatCode>General</c:formatCode>
                <c:ptCount val="1"/>
                <c:pt idx="0">
                  <c:v>24.403675819467587</c:v>
                </c:pt>
              </c:numCache>
            </c:numRef>
          </c:yVal>
          <c:smooth val="1"/>
          <c:extLst>
            <c:ext xmlns:c16="http://schemas.microsoft.com/office/drawing/2014/chart" uri="{C3380CC4-5D6E-409C-BE32-E72D297353CC}">
              <c16:uniqueId val="{00000002-4A3A-4A0A-831D-BEF79BD23409}"/>
            </c:ext>
          </c:extLst>
        </c:ser>
        <c:dLbls>
          <c:showLegendKey val="0"/>
          <c:showVal val="0"/>
          <c:showCatName val="0"/>
          <c:showSerName val="0"/>
          <c:showPercent val="0"/>
          <c:showBubbleSize val="0"/>
        </c:dLbls>
        <c:axId val="277777408"/>
        <c:axId val="277779200"/>
      </c:scatterChart>
      <c:valAx>
        <c:axId val="277777408"/>
        <c:scaling>
          <c:logBase val="10"/>
          <c:orientation val="minMax"/>
          <c:max val="10"/>
          <c:min val="5.000000000000001E-2"/>
        </c:scaling>
        <c:delete val="0"/>
        <c:axPos val="b"/>
        <c:numFmt formatCode="General" sourceLinked="1"/>
        <c:majorTickMark val="none"/>
        <c:minorTickMark val="none"/>
        <c:tickLblPos val="none"/>
        <c:spPr>
          <a:noFill/>
          <a:ln>
            <a:noFill/>
          </a:ln>
        </c:spPr>
        <c:crossAx val="277779200"/>
        <c:crosses val="autoZero"/>
        <c:crossBetween val="midCat"/>
        <c:majorUnit val="10"/>
        <c:minorUnit val="10"/>
      </c:valAx>
      <c:valAx>
        <c:axId val="277779200"/>
        <c:scaling>
          <c:orientation val="minMax"/>
          <c:max val="30"/>
        </c:scaling>
        <c:delete val="0"/>
        <c:axPos val="l"/>
        <c:majorGridlines>
          <c:spPr>
            <a:ln>
              <a:noFill/>
            </a:ln>
          </c:spPr>
        </c:majorGridlines>
        <c:numFmt formatCode="General" sourceLinked="1"/>
        <c:majorTickMark val="none"/>
        <c:minorTickMark val="none"/>
        <c:tickLblPos val="none"/>
        <c:spPr>
          <a:noFill/>
          <a:ln>
            <a:noFill/>
          </a:ln>
        </c:spPr>
        <c:crossAx val="277777408"/>
        <c:crossesAt val="5.000000000000001E-2"/>
        <c:crossBetween val="midCat"/>
        <c:majorUnit val="5"/>
        <c:min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4761336144336"/>
          <c:y val="0.12606190278793886"/>
          <c:w val="0.83499657441403918"/>
          <c:h val="0.85110735232170054"/>
        </c:manualLayout>
      </c:layout>
      <c:scatterChart>
        <c:scatterStyle val="smoothMarker"/>
        <c:varyColors val="0"/>
        <c:ser>
          <c:idx val="0"/>
          <c:order val="0"/>
          <c:tx>
            <c:v>Profile 3</c:v>
          </c:tx>
          <c:marker>
            <c:symbol val="none"/>
          </c:marker>
          <c:xVal>
            <c:numRef>
              <c:f>'Reference Lists&amp;Tables'!$E$47:$E$108</c:f>
              <c:numCache>
                <c:formatCode>General</c:formatCode>
                <c:ptCount val="62"/>
                <c:pt idx="0">
                  <c:v>0.01</c:v>
                </c:pt>
                <c:pt idx="1">
                  <c:v>0.04</c:v>
                </c:pt>
                <c:pt idx="2">
                  <c:v>0.08</c:v>
                </c:pt>
                <c:pt idx="3">
                  <c:v>0.12</c:v>
                </c:pt>
                <c:pt idx="4">
                  <c:v>0.16</c:v>
                </c:pt>
                <c:pt idx="5">
                  <c:v>0.2</c:v>
                </c:pt>
                <c:pt idx="6">
                  <c:v>0.3</c:v>
                </c:pt>
                <c:pt idx="7">
                  <c:v>0.4</c:v>
                </c:pt>
                <c:pt idx="8">
                  <c:v>0.5</c:v>
                </c:pt>
                <c:pt idx="9">
                  <c:v>0.6</c:v>
                </c:pt>
                <c:pt idx="10">
                  <c:v>0.7</c:v>
                </c:pt>
                <c:pt idx="11">
                  <c:v>0.8</c:v>
                </c:pt>
                <c:pt idx="12">
                  <c:v>0.9</c:v>
                </c:pt>
                <c:pt idx="13">
                  <c:v>1</c:v>
                </c:pt>
                <c:pt idx="14">
                  <c:v>1.1000000000000001</c:v>
                </c:pt>
                <c:pt idx="15">
                  <c:v>1.2</c:v>
                </c:pt>
                <c:pt idx="16">
                  <c:v>1.3</c:v>
                </c:pt>
                <c:pt idx="17">
                  <c:v>1.4</c:v>
                </c:pt>
                <c:pt idx="18">
                  <c:v>1.5</c:v>
                </c:pt>
                <c:pt idx="19">
                  <c:v>1.6</c:v>
                </c:pt>
                <c:pt idx="20">
                  <c:v>1.7</c:v>
                </c:pt>
                <c:pt idx="21">
                  <c:v>1.8</c:v>
                </c:pt>
                <c:pt idx="22">
                  <c:v>1.9</c:v>
                </c:pt>
                <c:pt idx="23">
                  <c:v>2</c:v>
                </c:pt>
                <c:pt idx="24">
                  <c:v>2.1</c:v>
                </c:pt>
                <c:pt idx="25">
                  <c:v>2.2000000000000002</c:v>
                </c:pt>
                <c:pt idx="26">
                  <c:v>2.2999999999999998</c:v>
                </c:pt>
                <c:pt idx="27">
                  <c:v>2.4</c:v>
                </c:pt>
                <c:pt idx="28">
                  <c:v>2.5</c:v>
                </c:pt>
                <c:pt idx="29">
                  <c:v>2.6</c:v>
                </c:pt>
                <c:pt idx="30">
                  <c:v>2.7</c:v>
                </c:pt>
                <c:pt idx="31">
                  <c:v>2.8</c:v>
                </c:pt>
                <c:pt idx="32">
                  <c:v>2.9</c:v>
                </c:pt>
                <c:pt idx="33">
                  <c:v>3</c:v>
                </c:pt>
                <c:pt idx="34">
                  <c:v>3.1</c:v>
                </c:pt>
                <c:pt idx="35">
                  <c:v>3.2</c:v>
                </c:pt>
                <c:pt idx="36">
                  <c:v>3.3</c:v>
                </c:pt>
                <c:pt idx="37">
                  <c:v>3.4</c:v>
                </c:pt>
                <c:pt idx="38">
                  <c:v>3.5</c:v>
                </c:pt>
                <c:pt idx="39">
                  <c:v>3.6</c:v>
                </c:pt>
                <c:pt idx="40">
                  <c:v>3.7</c:v>
                </c:pt>
                <c:pt idx="41">
                  <c:v>3.8</c:v>
                </c:pt>
                <c:pt idx="42">
                  <c:v>3.9</c:v>
                </c:pt>
                <c:pt idx="43">
                  <c:v>4</c:v>
                </c:pt>
                <c:pt idx="44">
                  <c:v>4.0999999999999996</c:v>
                </c:pt>
                <c:pt idx="45">
                  <c:v>4.2</c:v>
                </c:pt>
                <c:pt idx="46">
                  <c:v>4.3</c:v>
                </c:pt>
                <c:pt idx="47">
                  <c:v>4.4000000000000004</c:v>
                </c:pt>
                <c:pt idx="48">
                  <c:v>4.5</c:v>
                </c:pt>
                <c:pt idx="49">
                  <c:v>4.5999999999999996</c:v>
                </c:pt>
                <c:pt idx="50">
                  <c:v>4.7</c:v>
                </c:pt>
                <c:pt idx="51">
                  <c:v>4.8</c:v>
                </c:pt>
                <c:pt idx="52">
                  <c:v>4.9000000000000004</c:v>
                </c:pt>
                <c:pt idx="53">
                  <c:v>5</c:v>
                </c:pt>
                <c:pt idx="54">
                  <c:v>5.0999999999999996</c:v>
                </c:pt>
                <c:pt idx="55">
                  <c:v>5.1999999999999904</c:v>
                </c:pt>
                <c:pt idx="56">
                  <c:v>5.2999999999999901</c:v>
                </c:pt>
                <c:pt idx="57">
                  <c:v>5.3999999999999897</c:v>
                </c:pt>
                <c:pt idx="58">
                  <c:v>5.4999999999999902</c:v>
                </c:pt>
                <c:pt idx="59">
                  <c:v>5.5999999999999899</c:v>
                </c:pt>
                <c:pt idx="60">
                  <c:v>5.6999999999999904</c:v>
                </c:pt>
                <c:pt idx="61">
                  <c:v>5.7999999999999901</c:v>
                </c:pt>
              </c:numCache>
            </c:numRef>
          </c:xVal>
          <c:yVal>
            <c:numRef>
              <c:f>'Reference Lists&amp;Tables'!$F$47:$F$108</c:f>
              <c:numCache>
                <c:formatCode>General</c:formatCode>
                <c:ptCount val="62"/>
                <c:pt idx="0">
                  <c:v>0.15045799836036794</c:v>
                </c:pt>
                <c:pt idx="1">
                  <c:v>0.53862724460533928</c:v>
                </c:pt>
                <c:pt idx="2">
                  <c:v>1.0191188521990828</c:v>
                </c:pt>
                <c:pt idx="3">
                  <c:v>1.4798657326710731</c:v>
                </c:pt>
                <c:pt idx="4">
                  <c:v>1.9282411822086292</c:v>
                </c:pt>
                <c:pt idx="5">
                  <c:v>2.3676363545205676</c:v>
                </c:pt>
                <c:pt idx="6">
                  <c:v>3.4380522948041703</c:v>
                </c:pt>
                <c:pt idx="7">
                  <c:v>4.4797266907874196</c:v>
                </c:pt>
                <c:pt idx="8">
                  <c:v>5.5005379354442363</c:v>
                </c:pt>
                <c:pt idx="9">
                  <c:v>6.5050254022121123</c:v>
                </c:pt>
                <c:pt idx="10">
                  <c:v>7.4961381148658486</c:v>
                </c:pt>
                <c:pt idx="11">
                  <c:v>8.4759431852096405</c:v>
                </c:pt>
                <c:pt idx="12">
                  <c:v>9.445968114627755</c:v>
                </c:pt>
                <c:pt idx="13">
                  <c:v>10.407386487393207</c:v>
                </c:pt>
                <c:pt idx="14">
                  <c:v>11.361127400436589</c:v>
                </c:pt>
                <c:pt idx="15">
                  <c:v>12.307944107591046</c:v>
                </c:pt>
                <c:pt idx="16">
                  <c:v>13.248459240178196</c:v>
                </c:pt>
                <c:pt idx="17">
                  <c:v>14.183195796464824</c:v>
                </c:pt>
                <c:pt idx="18">
                  <c:v>15.1125990811801</c:v>
                </c:pt>
                <c:pt idx="19">
                  <c:v>16.037052668111286</c:v>
                </c:pt>
                <c:pt idx="20">
                  <c:v>16.956890287426958</c:v>
                </c:pt>
                <c:pt idx="21">
                  <c:v>17.872404857541344</c:v>
                </c:pt>
                <c:pt idx="22">
                  <c:v>18.78385546845708</c:v>
                </c:pt>
                <c:pt idx="23">
                  <c:v>19.691472864867539</c:v>
                </c:pt>
                <c:pt idx="24">
                  <c:v>20.595463810390296</c:v>
                </c:pt>
                <c:pt idx="25">
                  <c:v>21.496014603762063</c:v>
                </c:pt>
                <c:pt idx="26">
                  <c:v>22.393293942907906</c:v>
                </c:pt>
                <c:pt idx="27">
                  <c:v>23.287455280969496</c:v>
                </c:pt>
                <c:pt idx="28">
                  <c:v>24.178638781853024</c:v>
                </c:pt>
                <c:pt idx="29">
                  <c:v>25.066972956686762</c:v>
                </c:pt>
                <c:pt idx="30">
                  <c:v>25.952576043537618</c:v>
                </c:pt>
                <c:pt idx="31">
                  <c:v>26.835557178692351</c:v>
                </c:pt>
                <c:pt idx="32">
                  <c:v>27.716017397317589</c:v>
                </c:pt>
                <c:pt idx="33">
                  <c:v>28.594050493383648</c:v>
                </c:pt>
                <c:pt idx="34">
                  <c:v>29.469743762680181</c:v>
                </c:pt>
                <c:pt idx="35">
                  <c:v>30.343178648078002</c:v>
                </c:pt>
                <c:pt idx="36">
                  <c:v>31.214431302552516</c:v>
                </c:pt>
                <c:pt idx="37">
                  <c:v>32.083573082625016</c:v>
                </c:pt>
                <c:pt idx="38">
                  <c:v>32.950670982616195</c:v>
                </c:pt>
                <c:pt idx="39">
                  <c:v>33.815788018299401</c:v>
                </c:pt>
                <c:pt idx="40">
                  <c:v>34.67898356709258</c:v>
                </c:pt>
                <c:pt idx="41">
                  <c:v>35.540313670753541</c:v>
                </c:pt>
                <c:pt idx="42">
                  <c:v>36.399831305590098</c:v>
                </c:pt>
                <c:pt idx="43">
                  <c:v>37.257586624414628</c:v>
                </c:pt>
                <c:pt idx="44">
                  <c:v>38.11362717383075</c:v>
                </c:pt>
                <c:pt idx="45">
                  <c:v>38.967998089906963</c:v>
                </c:pt>
                <c:pt idx="46">
                  <c:v>39.820742274851042</c:v>
                </c:pt>
                <c:pt idx="47">
                  <c:v>40.671900556928428</c:v>
                </c:pt>
                <c:pt idx="48">
                  <c:v>41.52151183555835</c:v>
                </c:pt>
                <c:pt idx="49">
                  <c:v>42.369613213261424</c:v>
                </c:pt>
                <c:pt idx="50">
                  <c:v>43.216240115908555</c:v>
                </c:pt>
                <c:pt idx="51">
                  <c:v>44.061426402536348</c:v>
                </c:pt>
                <c:pt idx="52">
                  <c:v>44.90520446583281</c:v>
                </c:pt>
                <c:pt idx="53">
                  <c:v>45.747605324259197</c:v>
                </c:pt>
                <c:pt idx="54">
                  <c:v>46.588658706658698</c:v>
                </c:pt>
                <c:pt idx="55">
                  <c:v>47.428393130098975</c:v>
                </c:pt>
                <c:pt idx="56">
                  <c:v>48.266835971610625</c:v>
                </c:pt>
                <c:pt idx="57">
                  <c:v>49.104013534404181</c:v>
                </c:pt>
                <c:pt idx="58">
                  <c:v>49.939951109087922</c:v>
                </c:pt>
                <c:pt idx="59">
                  <c:v>50.774673030344985</c:v>
                </c:pt>
                <c:pt idx="60">
                  <c:v>51.608202729484056</c:v>
                </c:pt>
                <c:pt idx="61">
                  <c:v>52.440562783229275</c:v>
                </c:pt>
              </c:numCache>
            </c:numRef>
          </c:yVal>
          <c:smooth val="1"/>
          <c:extLst>
            <c:ext xmlns:c16="http://schemas.microsoft.com/office/drawing/2014/chart" uri="{C3380CC4-5D6E-409C-BE32-E72D297353CC}">
              <c16:uniqueId val="{00000000-BD1B-4FC1-AD39-3148C4E9CAD9}"/>
            </c:ext>
          </c:extLst>
        </c:ser>
        <c:ser>
          <c:idx val="1"/>
          <c:order val="1"/>
          <c:tx>
            <c:v>EC i+r vs SAR</c:v>
          </c:tx>
          <c:marker>
            <c:symbol val="circle"/>
            <c:size val="10"/>
            <c:spPr>
              <a:noFill/>
              <a:ln w="38100"/>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Lists&amp;Tables'!$O$5</c:f>
              <c:numCache>
                <c:formatCode>General</c:formatCode>
                <c:ptCount val="1"/>
                <c:pt idx="0">
                  <c:v>2.0136182336182333</c:v>
                </c:pt>
              </c:numCache>
            </c:numRef>
          </c:xVal>
          <c:yVal>
            <c:numRef>
              <c:f>'Reference Lists&amp;Tables'!$P$5</c:f>
              <c:numCache>
                <c:formatCode>General</c:formatCode>
                <c:ptCount val="1"/>
                <c:pt idx="0">
                  <c:v>26</c:v>
                </c:pt>
              </c:numCache>
            </c:numRef>
          </c:yVal>
          <c:smooth val="1"/>
          <c:extLst>
            <c:ext xmlns:c16="http://schemas.microsoft.com/office/drawing/2014/chart" uri="{C3380CC4-5D6E-409C-BE32-E72D297353CC}">
              <c16:uniqueId val="{00000001-BD1B-4FC1-AD39-3148C4E9CAD9}"/>
            </c:ext>
          </c:extLst>
        </c:ser>
        <c:ser>
          <c:idx val="2"/>
          <c:order val="2"/>
          <c:tx>
            <c:v>EC i+r vs SAR adj Ca</c:v>
          </c:tx>
          <c:spPr>
            <a:ln w="44450"/>
          </c:spPr>
          <c:marker>
            <c:symbol val="square"/>
            <c:size val="9"/>
            <c:spPr>
              <a:noFill/>
              <a:ln w="38100"/>
            </c:spPr>
          </c:marker>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'Reference Lists&amp;Tables'!$O$5</c:f>
              <c:numCache>
                <c:formatCode>General</c:formatCode>
                <c:ptCount val="1"/>
                <c:pt idx="0">
                  <c:v>2.0136182336182333</c:v>
                </c:pt>
              </c:numCache>
            </c:numRef>
          </c:xVal>
          <c:yVal>
            <c:numRef>
              <c:f>'Reference Lists&amp;Tables'!$Q$5</c:f>
              <c:numCache>
                <c:formatCode>General</c:formatCode>
                <c:ptCount val="1"/>
                <c:pt idx="0">
                  <c:v>30</c:v>
                </c:pt>
              </c:numCache>
            </c:numRef>
          </c:yVal>
          <c:smooth val="1"/>
          <c:extLst>
            <c:ext xmlns:c16="http://schemas.microsoft.com/office/drawing/2014/chart" uri="{C3380CC4-5D6E-409C-BE32-E72D297353CC}">
              <c16:uniqueId val="{00000002-BD1B-4FC1-AD39-3148C4E9CAD9}"/>
            </c:ext>
          </c:extLst>
        </c:ser>
        <c:dLbls>
          <c:showLegendKey val="0"/>
          <c:showVal val="0"/>
          <c:showCatName val="0"/>
          <c:showSerName val="0"/>
          <c:showPercent val="0"/>
          <c:showBubbleSize val="0"/>
        </c:dLbls>
        <c:axId val="281024768"/>
        <c:axId val="281030656"/>
      </c:scatterChart>
      <c:valAx>
        <c:axId val="281024768"/>
        <c:scaling>
          <c:logBase val="10"/>
          <c:orientation val="minMax"/>
          <c:max val="10"/>
          <c:min val="5.000000000000001E-2"/>
        </c:scaling>
        <c:delete val="0"/>
        <c:axPos val="b"/>
        <c:numFmt formatCode="General" sourceLinked="1"/>
        <c:majorTickMark val="none"/>
        <c:minorTickMark val="none"/>
        <c:tickLblPos val="none"/>
        <c:spPr>
          <a:noFill/>
          <a:ln>
            <a:noFill/>
          </a:ln>
        </c:spPr>
        <c:crossAx val="281030656"/>
        <c:crosses val="autoZero"/>
        <c:crossBetween val="midCat"/>
        <c:majorUnit val="10"/>
        <c:minorUnit val="10"/>
      </c:valAx>
      <c:valAx>
        <c:axId val="281030656"/>
        <c:scaling>
          <c:orientation val="minMax"/>
          <c:max val="30"/>
        </c:scaling>
        <c:delete val="0"/>
        <c:axPos val="l"/>
        <c:majorGridlines>
          <c:spPr>
            <a:ln>
              <a:noFill/>
            </a:ln>
          </c:spPr>
        </c:majorGridlines>
        <c:numFmt formatCode="General" sourceLinked="1"/>
        <c:majorTickMark val="none"/>
        <c:minorTickMark val="none"/>
        <c:tickLblPos val="none"/>
        <c:spPr>
          <a:noFill/>
          <a:ln>
            <a:noFill/>
          </a:ln>
        </c:spPr>
        <c:crossAx val="281024768"/>
        <c:crossesAt val="5.000000000000001E-2"/>
        <c:crossBetween val="midCat"/>
        <c:majorUnit val="5"/>
        <c:minorUnit val="5"/>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tif"/><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image" Target="../media/image3.gif"/><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image" Target="../media/image22.emf"/><Relationship Id="rId18" Type="http://schemas.openxmlformats.org/officeDocument/2006/relationships/image" Target="../media/image27.emf"/><Relationship Id="rId3" Type="http://schemas.openxmlformats.org/officeDocument/2006/relationships/image" Target="../media/image12.png"/><Relationship Id="rId7" Type="http://schemas.openxmlformats.org/officeDocument/2006/relationships/image" Target="../media/image16.emf"/><Relationship Id="rId12" Type="http://schemas.openxmlformats.org/officeDocument/2006/relationships/image" Target="../media/image21.emf"/><Relationship Id="rId17" Type="http://schemas.openxmlformats.org/officeDocument/2006/relationships/image" Target="../media/image26.emf"/><Relationship Id="rId2" Type="http://schemas.openxmlformats.org/officeDocument/2006/relationships/image" Target="../media/image11.png"/><Relationship Id="rId16" Type="http://schemas.openxmlformats.org/officeDocument/2006/relationships/image" Target="../media/image25.emf"/><Relationship Id="rId20" Type="http://schemas.openxmlformats.org/officeDocument/2006/relationships/image" Target="../media/image29.png"/><Relationship Id="rId1" Type="http://schemas.openxmlformats.org/officeDocument/2006/relationships/image" Target="../media/image10.png"/><Relationship Id="rId6" Type="http://schemas.openxmlformats.org/officeDocument/2006/relationships/image" Target="../media/image15.emf"/><Relationship Id="rId11" Type="http://schemas.openxmlformats.org/officeDocument/2006/relationships/image" Target="../media/image20.emf"/><Relationship Id="rId5" Type="http://schemas.openxmlformats.org/officeDocument/2006/relationships/image" Target="../media/image14.emf"/><Relationship Id="rId15" Type="http://schemas.openxmlformats.org/officeDocument/2006/relationships/image" Target="../media/image24.emf"/><Relationship Id="rId10" Type="http://schemas.openxmlformats.org/officeDocument/2006/relationships/image" Target="../media/image19.emf"/><Relationship Id="rId19" Type="http://schemas.openxmlformats.org/officeDocument/2006/relationships/image" Target="../media/image28.png"/><Relationship Id="rId4" Type="http://schemas.openxmlformats.org/officeDocument/2006/relationships/image" Target="../media/image13.emf"/><Relationship Id="rId9" Type="http://schemas.openxmlformats.org/officeDocument/2006/relationships/image" Target="../media/image18.emf"/><Relationship Id="rId1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8</xdr:col>
      <xdr:colOff>63499</xdr:colOff>
      <xdr:row>40</xdr:row>
      <xdr:rowOff>204785</xdr:rowOff>
    </xdr:from>
    <xdr:to>
      <xdr:col>16</xdr:col>
      <xdr:colOff>508000</xdr:colOff>
      <xdr:row>68</xdr:row>
      <xdr:rowOff>99132</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6276479" y="8477227"/>
          <a:ext cx="6722177" cy="5504366"/>
          <a:chOff x="5791199" y="5894385"/>
          <a:chExt cx="6057901" cy="5279147"/>
        </a:xfrm>
      </xdr:grpSpPr>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64" t="27783" r="8781" b="13479"/>
          <a:stretch/>
        </xdr:blipFill>
        <xdr:spPr>
          <a:xfrm>
            <a:off x="5791199" y="5930901"/>
            <a:ext cx="6057901" cy="5242631"/>
          </a:xfrm>
          <a:prstGeom prst="rect">
            <a:avLst/>
          </a:prstGeom>
        </xdr:spPr>
      </xdr:pic>
      <xdr:graphicFrame macro="">
        <xdr:nvGraphicFramePr>
          <xdr:cNvPr id="15" name="Chart 14">
            <a:extLst>
              <a:ext uri="{FF2B5EF4-FFF2-40B4-BE49-F238E27FC236}">
                <a16:creationId xmlns:a16="http://schemas.microsoft.com/office/drawing/2014/main" id="{00000000-0008-0000-0200-00000F000000}"/>
              </a:ext>
            </a:extLst>
          </xdr:cNvPr>
          <xdr:cNvGraphicFramePr/>
        </xdr:nvGraphicFramePr>
        <xdr:xfrm>
          <a:off x="6160701" y="5894385"/>
          <a:ext cx="5687605" cy="4307786"/>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editAs="oneCell">
    <xdr:from>
      <xdr:col>17</xdr:col>
      <xdr:colOff>415129</xdr:colOff>
      <xdr:row>44</xdr:row>
      <xdr:rowOff>91281</xdr:rowOff>
    </xdr:from>
    <xdr:to>
      <xdr:col>25</xdr:col>
      <xdr:colOff>530225</xdr:colOff>
      <xdr:row>66</xdr:row>
      <xdr:rowOff>172879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730" t="1542" r="15583" b="19824"/>
        <a:stretch/>
      </xdr:blipFill>
      <xdr:spPr>
        <a:xfrm>
          <a:off x="12454729" y="6580981"/>
          <a:ext cx="5576096" cy="45450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338278</xdr:colOff>
      <xdr:row>15</xdr:row>
      <xdr:rowOff>24554</xdr:rowOff>
    </xdr:from>
    <xdr:to>
      <xdr:col>36</xdr:col>
      <xdr:colOff>391356</xdr:colOff>
      <xdr:row>32</xdr:row>
      <xdr:rowOff>165190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7281229" y="4423883"/>
          <a:ext cx="6322831" cy="4132692"/>
          <a:chOff x="14001750" y="3698211"/>
          <a:chExt cx="7627601" cy="4445666"/>
        </a:xfrm>
      </xdr:grpSpPr>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85" t="27950" r="9332" b="19957"/>
          <a:stretch/>
        </xdr:blipFill>
        <xdr:spPr>
          <a:xfrm>
            <a:off x="14001750" y="3753823"/>
            <a:ext cx="6870257" cy="4390054"/>
          </a:xfrm>
          <a:prstGeom prst="rect">
            <a:avLst/>
          </a:prstGeom>
        </xdr:spPr>
      </xdr:pic>
      <xdr:graphicFrame macro="">
        <xdr:nvGraphicFramePr>
          <xdr:cNvPr id="60" name="Chart 59">
            <a:extLst>
              <a:ext uri="{FF2B5EF4-FFF2-40B4-BE49-F238E27FC236}">
                <a16:creationId xmlns:a16="http://schemas.microsoft.com/office/drawing/2014/main" id="{00000000-0008-0000-0300-00003C000000}"/>
              </a:ext>
            </a:extLst>
          </xdr:cNvPr>
          <xdr:cNvGraphicFramePr>
            <a:graphicFrameLocks/>
          </xdr:cNvGraphicFramePr>
        </xdr:nvGraphicFramePr>
        <xdr:xfrm>
          <a:off x="14516745" y="3698211"/>
          <a:ext cx="7112606" cy="4353362"/>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27</xdr:col>
      <xdr:colOff>267025</xdr:colOff>
      <xdr:row>34</xdr:row>
      <xdr:rowOff>97791</xdr:rowOff>
    </xdr:from>
    <xdr:to>
      <xdr:col>36</xdr:col>
      <xdr:colOff>475989</xdr:colOff>
      <xdr:row>54</xdr:row>
      <xdr:rowOff>65346</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7213151" y="8931967"/>
          <a:ext cx="6478717" cy="5015840"/>
          <a:chOff x="5500687" y="12603957"/>
          <a:chExt cx="5612607" cy="4122649"/>
        </a:xfrm>
      </xdr:grpSpPr>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85" t="27950" r="9332" b="19957"/>
          <a:stretch/>
        </xdr:blipFill>
        <xdr:spPr>
          <a:xfrm>
            <a:off x="5500687" y="12699206"/>
            <a:ext cx="5210176" cy="4027400"/>
          </a:xfrm>
          <a:prstGeom prst="rect">
            <a:avLst/>
          </a:prstGeom>
        </xdr:spPr>
      </xdr:pic>
      <xdr:graphicFrame macro="">
        <xdr:nvGraphicFramePr>
          <xdr:cNvPr id="62" name="Chart 61">
            <a:extLst>
              <a:ext uri="{FF2B5EF4-FFF2-40B4-BE49-F238E27FC236}">
                <a16:creationId xmlns:a16="http://schemas.microsoft.com/office/drawing/2014/main" id="{00000000-0008-0000-0300-00003E000000}"/>
              </a:ext>
            </a:extLst>
          </xdr:cNvPr>
          <xdr:cNvGraphicFramePr>
            <a:graphicFrameLocks/>
          </xdr:cNvGraphicFramePr>
        </xdr:nvGraphicFramePr>
        <xdr:xfrm>
          <a:off x="5786437" y="12603957"/>
          <a:ext cx="5326857" cy="400050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27</xdr:col>
      <xdr:colOff>148167</xdr:colOff>
      <xdr:row>55</xdr:row>
      <xdr:rowOff>19831</xdr:rowOff>
    </xdr:from>
    <xdr:to>
      <xdr:col>36</xdr:col>
      <xdr:colOff>85572</xdr:colOff>
      <xdr:row>75</xdr:row>
      <xdr:rowOff>230637</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7091118" y="14275930"/>
          <a:ext cx="6213508" cy="5371053"/>
          <a:chOff x="10765631" y="12433097"/>
          <a:chExt cx="5224189" cy="4314942"/>
        </a:xfrm>
      </xdr:grpSpPr>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85" t="27950" r="9332" b="19957"/>
          <a:stretch/>
        </xdr:blipFill>
        <xdr:spPr>
          <a:xfrm>
            <a:off x="10765631" y="12720639"/>
            <a:ext cx="5191125" cy="4027400"/>
          </a:xfrm>
          <a:prstGeom prst="rect">
            <a:avLst/>
          </a:prstGeom>
        </xdr:spPr>
      </xdr:pic>
      <xdr:graphicFrame macro="">
        <xdr:nvGraphicFramePr>
          <xdr:cNvPr id="64" name="Chart 63">
            <a:extLst>
              <a:ext uri="{FF2B5EF4-FFF2-40B4-BE49-F238E27FC236}">
                <a16:creationId xmlns:a16="http://schemas.microsoft.com/office/drawing/2014/main" id="{00000000-0008-0000-0300-000040000000}"/>
              </a:ext>
            </a:extLst>
          </xdr:cNvPr>
          <xdr:cNvGraphicFramePr>
            <a:graphicFrameLocks/>
          </xdr:cNvGraphicFramePr>
        </xdr:nvGraphicFramePr>
        <xdr:xfrm>
          <a:off x="10783788" y="12433097"/>
          <a:ext cx="5206032" cy="384216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6</xdr:row>
      <xdr:rowOff>50800</xdr:rowOff>
    </xdr:from>
    <xdr:to>
      <xdr:col>22</xdr:col>
      <xdr:colOff>0</xdr:colOff>
      <xdr:row>16</xdr:row>
      <xdr:rowOff>596900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92100" y="1803400"/>
          <a:ext cx="17475200" cy="3314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200"/>
            </a:spcAft>
          </a:pPr>
          <a:r>
            <a:rPr lang="en-AU" sz="1400" b="1">
              <a:solidFill>
                <a:schemeClr val="dk1"/>
              </a:solidFill>
              <a:effectLst/>
              <a:latin typeface="+mn-lt"/>
              <a:ea typeface="+mn-ea"/>
              <a:cs typeface="+mn-cs"/>
            </a:rPr>
            <a:t>Data Input Steps</a:t>
          </a:r>
        </a:p>
        <a:p>
          <a:pPr>
            <a:spcAft>
              <a:spcPts val="200"/>
            </a:spcAft>
          </a:pPr>
          <a:r>
            <a:rPr lang="en-AU" sz="1400" b="1">
              <a:solidFill>
                <a:srgbClr val="FF0000"/>
              </a:solidFill>
              <a:effectLst/>
              <a:latin typeface="+mn-lt"/>
              <a:ea typeface="+mn-ea"/>
              <a:cs typeface="+mn-cs"/>
            </a:rPr>
            <a:t>NOTE:</a:t>
          </a:r>
          <a:r>
            <a:rPr lang="en-AU" sz="1400" b="1" baseline="0">
              <a:solidFill>
                <a:srgbClr val="FF0000"/>
              </a:solidFill>
              <a:effectLst/>
              <a:latin typeface="+mn-lt"/>
              <a:ea typeface="+mn-ea"/>
              <a:cs typeface="+mn-cs"/>
            </a:rPr>
            <a:t> Please save data entry before starting to use Solver, if Solver begins to perform poorly, reopen the spreadsheet. Only modify values in the pink and blue boxes, the other colours are results only.</a:t>
          </a:r>
          <a:endParaRPr lang="en-AU" sz="1200">
            <a:solidFill>
              <a:srgbClr val="FF0000"/>
            </a:solidFill>
            <a:effectLst/>
            <a:latin typeface="+mn-lt"/>
            <a:ea typeface="+mn-ea"/>
            <a:cs typeface="+mn-cs"/>
          </a:endParaRPr>
        </a:p>
        <a:p>
          <a:pPr lvl="0">
            <a:spcAft>
              <a:spcPts val="200"/>
            </a:spcAft>
          </a:pPr>
          <a:r>
            <a:rPr lang="en-AU" sz="1200">
              <a:solidFill>
                <a:schemeClr val="dk1"/>
              </a:solidFill>
              <a:effectLst/>
              <a:latin typeface="+mn-lt"/>
              <a:ea typeface="+mn-ea"/>
              <a:cs typeface="+mn-cs"/>
            </a:rPr>
            <a:t>1.</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Choose the water sources to use for mixing in Column 1, and number the sources from 1 to a maximum of 3. Rainfall is listed as water source number 4 but should be set to 0 in column 2 for initial runs, to select</a:t>
          </a:r>
          <a:r>
            <a:rPr lang="en-AU" sz="1200" baseline="0">
              <a:solidFill>
                <a:schemeClr val="dk1"/>
              </a:solidFill>
              <a:effectLst/>
              <a:latin typeface="+mn-lt"/>
              <a:ea typeface="+mn-ea"/>
              <a:cs typeface="+mn-cs"/>
            </a:rPr>
            <a:t> rainfall as a source use the dropdown box in column 1</a:t>
          </a:r>
          <a:r>
            <a:rPr lang="en-AU" sz="1200">
              <a:solidFill>
                <a:schemeClr val="dk1"/>
              </a:solidFill>
              <a:effectLst/>
              <a:latin typeface="+mn-lt"/>
              <a:ea typeface="+mn-ea"/>
              <a:cs typeface="+mn-cs"/>
            </a:rPr>
            <a:t>.</a:t>
          </a:r>
        </a:p>
        <a:p>
          <a:pPr lvl="0">
            <a:spcAft>
              <a:spcPts val="200"/>
            </a:spcAft>
          </a:pPr>
          <a:r>
            <a:rPr lang="en-AU" sz="1200">
              <a:solidFill>
                <a:schemeClr val="dk1"/>
              </a:solidFill>
              <a:effectLst/>
              <a:latin typeface="+mn-lt"/>
              <a:ea typeface="+mn-ea"/>
              <a:cs typeface="+mn-cs"/>
            </a:rPr>
            <a:t>2.   Confirm rainfall and irrigation + rainfall amounts in Columns 2 and 3 using the data in input water data shown at the top of the page or choose alternative values.</a:t>
          </a:r>
        </a:p>
        <a:p>
          <a:pPr lvl="0">
            <a:spcAft>
              <a:spcPts val="200"/>
            </a:spcAft>
          </a:pPr>
          <a:r>
            <a:rPr lang="en-AU" sz="1200">
              <a:solidFill>
                <a:schemeClr val="dk1"/>
              </a:solidFill>
              <a:effectLst/>
              <a:latin typeface="+mn-lt"/>
              <a:ea typeface="+mn-ea"/>
              <a:cs typeface="+mn-cs"/>
            </a:rPr>
            <a:t>3.   Make an initial estimate of the water quantities from each source in Column 3. The total of these quantities must equal the value in the green box in Column 3. This data is for comparison with Solver results and your later reference.</a:t>
          </a:r>
        </a:p>
        <a:p>
          <a:pPr lvl="0">
            <a:spcAft>
              <a:spcPts val="200"/>
            </a:spcAft>
          </a:pPr>
          <a:r>
            <a:rPr lang="en-AU" sz="1200">
              <a:solidFill>
                <a:schemeClr val="dk1"/>
              </a:solidFill>
              <a:effectLst/>
              <a:latin typeface="+mn-lt"/>
              <a:ea typeface="+mn-ea"/>
              <a:cs typeface="+mn-cs"/>
            </a:rPr>
            <a:t>4.   Copy your initial estimates from Column 4 into the relevant boxes in Column 5, these values will be used by Solver and changed to give the optimum mixing quantities	.</a:t>
          </a:r>
        </a:p>
        <a:p>
          <a:pPr lvl="0">
            <a:spcAft>
              <a:spcPts val="200"/>
            </a:spcAft>
          </a:pPr>
          <a:r>
            <a:rPr lang="en-AU" sz="1200">
              <a:solidFill>
                <a:schemeClr val="dk1"/>
              </a:solidFill>
              <a:effectLst/>
              <a:latin typeface="+mn-lt"/>
              <a:ea typeface="+mn-ea"/>
              <a:cs typeface="+mn-cs"/>
            </a:rPr>
            <a:t>5.   If there is an upper limit to a particular water source, put the depth (in mm/ha/yr) in the upper limits column 6. If there is no limit, use a default value of 2000 mm/ha/yr.</a:t>
          </a:r>
        </a:p>
        <a:p>
          <a:pPr lvl="0">
            <a:spcAft>
              <a:spcPts val="200"/>
            </a:spcAft>
          </a:pPr>
          <a:r>
            <a:rPr lang="en-AU" sz="1200">
              <a:solidFill>
                <a:schemeClr val="dk1"/>
              </a:solidFill>
              <a:effectLst/>
              <a:latin typeface="+mn-lt"/>
              <a:ea typeface="+mn-ea"/>
              <a:cs typeface="+mn-cs"/>
            </a:rPr>
            <a:t>6.   If there is a minimum required use of a water source, put the value (in mm/ha/yr) into Column 7 otherwise use a default value of 0.	</a:t>
          </a:r>
        </a:p>
        <a:p>
          <a:pPr lvl="0">
            <a:spcAft>
              <a:spcPts val="200"/>
            </a:spcAft>
          </a:pPr>
          <a:r>
            <a:rPr lang="en-AU" sz="1200">
              <a:solidFill>
                <a:schemeClr val="dk1"/>
              </a:solidFill>
              <a:effectLst/>
              <a:latin typeface="+mn-lt"/>
              <a:ea typeface="+mn-ea"/>
              <a:cs typeface="+mn-cs"/>
            </a:rPr>
            <a:t>7.   Choose an acceptable plant yield % from the plant yield % dropdown box of Column 8.</a:t>
          </a:r>
        </a:p>
        <a:p>
          <a:pPr lvl="0">
            <a:spcAft>
              <a:spcPts val="200"/>
            </a:spcAft>
          </a:pPr>
          <a:r>
            <a:rPr lang="en-AU" sz="1200">
              <a:solidFill>
                <a:schemeClr val="dk1"/>
              </a:solidFill>
              <a:effectLst/>
              <a:latin typeface="+mn-lt"/>
              <a:ea typeface="+mn-ea"/>
              <a:cs typeface="+mn-cs"/>
            </a:rPr>
            <a:t>8.</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Choose a plant from the drop down list beside "Plant Type" below Column 8.</a:t>
          </a:r>
        </a:p>
        <a:p>
          <a:pPr lvl="0">
            <a:spcAft>
              <a:spcPts val="200"/>
            </a:spcAft>
          </a:pPr>
          <a:r>
            <a:rPr lang="en-AU" sz="1200">
              <a:solidFill>
                <a:schemeClr val="dk1"/>
              </a:solidFill>
              <a:effectLst/>
              <a:latin typeface="+mn-lt"/>
              <a:ea typeface="+mn-ea"/>
              <a:cs typeface="+mn-cs"/>
            </a:rPr>
            <a:t>9.</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Enter an acceptable SAR value in Column 9. This value should minimise surface soil dispersion and should be below 10 and preferably the same as in the table  Permissable</a:t>
          </a:r>
          <a:r>
            <a:rPr lang="en-AU" sz="1200" baseline="0">
              <a:solidFill>
                <a:schemeClr val="dk1"/>
              </a:solidFill>
              <a:effectLst/>
              <a:latin typeface="+mn-lt"/>
              <a:ea typeface="+mn-ea"/>
              <a:cs typeface="+mn-cs"/>
            </a:rPr>
            <a:t> irrigation water SAR on the </a:t>
          </a:r>
          <a:r>
            <a:rPr lang="en-AU" sz="1200">
              <a:solidFill>
                <a:schemeClr val="dk1"/>
              </a:solidFill>
              <a:effectLst/>
              <a:latin typeface="+mn-lt"/>
              <a:ea typeface="+mn-ea"/>
              <a:cs typeface="+mn-cs"/>
            </a:rPr>
            <a:t> QUICK CALCULATOR page.</a:t>
          </a:r>
        </a:p>
        <a:p>
          <a:pPr lvl="0">
            <a:spcAft>
              <a:spcPts val="200"/>
            </a:spcAft>
          </a:pPr>
          <a:r>
            <a:rPr lang="en-AU" sz="1200">
              <a:solidFill>
                <a:schemeClr val="dk1"/>
              </a:solidFill>
              <a:effectLst/>
              <a:latin typeface="+mn-lt"/>
              <a:ea typeface="+mn-ea"/>
              <a:cs typeface="+mn-cs"/>
            </a:rPr>
            <a:t>10.</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Select from the drop down list in Column 10 whether to minimise Dd to groundwater. To minimise Dd, choose LF = 0.1, to use an </a:t>
          </a:r>
          <a:r>
            <a:rPr lang="en-AU" sz="1200" b="1">
              <a:solidFill>
                <a:schemeClr val="dk1"/>
              </a:solidFill>
              <a:effectLst/>
              <a:latin typeface="+mn-lt"/>
              <a:ea typeface="+mn-ea"/>
              <a:cs typeface="+mn-cs"/>
            </a:rPr>
            <a:t>average Dd choose LF = 0.15</a:t>
          </a:r>
          <a:r>
            <a:rPr lang="en-AU" sz="1200">
              <a:solidFill>
                <a:schemeClr val="dk1"/>
              </a:solidFill>
              <a:effectLst/>
              <a:latin typeface="+mn-lt"/>
              <a:ea typeface="+mn-ea"/>
              <a:cs typeface="+mn-cs"/>
            </a:rPr>
            <a:t>, for a high Dd choose LF = 0.2. This LF value does not account for rainfall and will be higher when rainfall is included.</a:t>
          </a:r>
        </a:p>
        <a:p>
          <a:pPr lvl="0">
            <a:spcAft>
              <a:spcPts val="200"/>
            </a:spcAft>
          </a:pPr>
          <a:r>
            <a:rPr lang="en-AU" sz="1200">
              <a:solidFill>
                <a:schemeClr val="dk1"/>
              </a:solidFill>
              <a:effectLst/>
              <a:latin typeface="+mn-lt"/>
              <a:ea typeface="+mn-ea"/>
              <a:cs typeface="+mn-cs"/>
            </a:rPr>
            <a:t>11.</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Enter a maximum practical &amp;/or cost effective quantity of gypsum to add to the soil (in tonnes/ha/yr) In Column 11 in case the final mixed SAR is too high. A value ≤ 3 tonnes/ha/yr is unlikely to be effective in most situations.</a:t>
          </a:r>
        </a:p>
        <a:p>
          <a:pPr lvl="0">
            <a:spcAft>
              <a:spcPts val="200"/>
            </a:spcAft>
          </a:pPr>
          <a:r>
            <a:rPr lang="en-AU" sz="1200">
              <a:solidFill>
                <a:schemeClr val="dk1"/>
              </a:solidFill>
              <a:effectLst/>
              <a:latin typeface="+mn-lt"/>
              <a:ea typeface="+mn-ea"/>
              <a:cs typeface="+mn-cs"/>
            </a:rPr>
            <a:t>12.  Choose which SAR calculation to use from SAR or SAR </a:t>
          </a:r>
          <a:r>
            <a:rPr lang="en-AU" sz="1200" baseline="-25000">
              <a:solidFill>
                <a:schemeClr val="dk1"/>
              </a:solidFill>
              <a:effectLst/>
              <a:latin typeface="+mn-lt"/>
              <a:ea typeface="+mn-ea"/>
              <a:cs typeface="+mn-cs"/>
            </a:rPr>
            <a:t>adj Ca</a:t>
          </a:r>
          <a:r>
            <a:rPr lang="en-AU" sz="1200">
              <a:solidFill>
                <a:schemeClr val="dk1"/>
              </a:solidFill>
              <a:effectLst/>
              <a:latin typeface="+mn-lt"/>
              <a:ea typeface="+mn-ea"/>
              <a:cs typeface="+mn-cs"/>
            </a:rPr>
            <a:t> in Column 12. SAR</a:t>
          </a:r>
          <a:r>
            <a:rPr lang="en-AU" sz="1200" baseline="-25000">
              <a:solidFill>
                <a:schemeClr val="dk1"/>
              </a:solidFill>
              <a:effectLst/>
              <a:latin typeface="+mn-lt"/>
              <a:ea typeface="+mn-ea"/>
              <a:cs typeface="+mn-cs"/>
            </a:rPr>
            <a:t>adjCa</a:t>
          </a:r>
          <a:r>
            <a:rPr lang="en-AU" sz="1200">
              <a:solidFill>
                <a:schemeClr val="dk1"/>
              </a:solidFill>
              <a:effectLst/>
              <a:latin typeface="+mn-lt"/>
              <a:ea typeface="+mn-ea"/>
              <a:cs typeface="+mn-cs"/>
            </a:rPr>
            <a:t> is probably better for sodic &amp;/or waters with high HCO</a:t>
          </a:r>
          <a:r>
            <a:rPr lang="en-AU" sz="1200" baseline="-25000">
              <a:solidFill>
                <a:schemeClr val="dk1"/>
              </a:solidFill>
              <a:effectLst/>
              <a:latin typeface="+mn-lt"/>
              <a:ea typeface="+mn-ea"/>
              <a:cs typeface="+mn-cs"/>
            </a:rPr>
            <a:t>3</a:t>
          </a:r>
          <a:r>
            <a:rPr lang="en-AU" sz="1200">
              <a:solidFill>
                <a:schemeClr val="dk1"/>
              </a:solidFill>
              <a:effectLst/>
              <a:latin typeface="+mn-lt"/>
              <a:ea typeface="+mn-ea"/>
              <a:cs typeface="+mn-cs"/>
            </a:rPr>
            <a:t>.</a:t>
          </a:r>
        </a:p>
        <a:p>
          <a:pPr marL="0" marR="0" lvl="0" indent="0" defTabSz="914400" eaLnBrk="1" fontAlgn="auto" latinLnBrk="0" hangingPunct="1">
            <a:lnSpc>
              <a:spcPct val="100000"/>
            </a:lnSpc>
            <a:spcBef>
              <a:spcPts val="0"/>
            </a:spcBef>
            <a:spcAft>
              <a:spcPts val="200"/>
            </a:spcAft>
            <a:buClrTx/>
            <a:buSzTx/>
            <a:buFontTx/>
            <a:buNone/>
            <a:tabLst/>
            <a:defRPr/>
          </a:pPr>
          <a:r>
            <a:rPr lang="en-AU" sz="1200">
              <a:solidFill>
                <a:schemeClr val="dk1"/>
              </a:solidFill>
              <a:effectLst/>
              <a:latin typeface="+mn-lt"/>
              <a:ea typeface="+mn-ea"/>
              <a:cs typeface="+mn-cs"/>
            </a:rPr>
            <a:t>13. </a:t>
          </a:r>
          <a:r>
            <a:rPr lang="en-AU" sz="1200" baseline="0">
              <a:solidFill>
                <a:schemeClr val="dk1"/>
              </a:solidFill>
              <a:effectLst/>
              <a:latin typeface="+mn-lt"/>
              <a:ea typeface="+mn-ea"/>
              <a:cs typeface="+mn-cs"/>
            </a:rPr>
            <a:t> </a:t>
          </a:r>
          <a:r>
            <a:rPr lang="en-AU" sz="1200">
              <a:solidFill>
                <a:schemeClr val="dk1"/>
              </a:solidFill>
              <a:effectLst/>
              <a:latin typeface="+mn-lt"/>
              <a:ea typeface="+mn-ea"/>
              <a:cs typeface="+mn-cs"/>
            </a:rPr>
            <a:t>Run Solver - under Data, Analysis in Excel menu. Click Solver .Ensure  the "Set objective" is the same as the orange box ,"ECi</a:t>
          </a:r>
          <a:r>
            <a:rPr lang="en-AU" sz="1200" baseline="0">
              <a:solidFill>
                <a:schemeClr val="dk1"/>
              </a:solidFill>
              <a:effectLst/>
              <a:latin typeface="+mn-lt"/>
              <a:ea typeface="+mn-ea"/>
              <a:cs typeface="+mn-cs"/>
            </a:rPr>
            <a:t> Mix" in Column 17, </a:t>
          </a:r>
          <a:r>
            <a:rPr lang="en-AU" sz="1200">
              <a:solidFill>
                <a:schemeClr val="dk1"/>
              </a:solidFill>
              <a:effectLst/>
              <a:latin typeface="+mn-lt"/>
              <a:ea typeface="+mn-ea"/>
              <a:cs typeface="+mn-cs"/>
            </a:rPr>
            <a:t>by clicking on the  orange  box </a:t>
          </a:r>
          <a:r>
            <a:rPr lang="en-AU" sz="1200" baseline="0">
              <a:solidFill>
                <a:schemeClr val="dk1"/>
              </a:solidFill>
              <a:effectLst/>
              <a:latin typeface="+mn-lt"/>
              <a:ea typeface="+mn-ea"/>
              <a:cs typeface="+mn-cs"/>
            </a:rPr>
            <a:t>or you may return odd results, then </a:t>
          </a:r>
          <a:r>
            <a:rPr lang="en-AU" sz="1200">
              <a:solidFill>
                <a:schemeClr val="dk1"/>
              </a:solidFill>
              <a:effectLst/>
              <a:latin typeface="+mn-lt"/>
              <a:ea typeface="+mn-ea"/>
              <a:cs typeface="+mn-cs"/>
            </a:rPr>
            <a:t>click Solve. If Solver is not preloaded in Excel click</a:t>
          </a:r>
          <a:r>
            <a:rPr lang="en-AU" sz="1200" baseline="0">
              <a:solidFill>
                <a:schemeClr val="dk1"/>
              </a:solidFill>
              <a:effectLst/>
              <a:latin typeface="+mn-lt"/>
              <a:ea typeface="+mn-ea"/>
              <a:cs typeface="+mn-cs"/>
            </a:rPr>
            <a:t> the link at the top of the page Loading Solver</a:t>
          </a:r>
          <a:endParaRPr lang="en-AU" sz="1200">
            <a:effectLst/>
          </a:endParaRPr>
        </a:p>
        <a:p>
          <a:pPr lvl="0">
            <a:spcAft>
              <a:spcPts val="200"/>
            </a:spcAft>
          </a:pPr>
          <a:endParaRPr lang="en-AU" sz="1200">
            <a:solidFill>
              <a:schemeClr val="dk1"/>
            </a:solidFill>
            <a:effectLst/>
            <a:latin typeface="+mn-lt"/>
            <a:ea typeface="+mn-ea"/>
            <a:cs typeface="+mn-cs"/>
          </a:endParaRPr>
        </a:p>
      </xdr:txBody>
    </xdr:sp>
    <xdr:clientData/>
  </xdr:twoCellAnchor>
  <xdr:twoCellAnchor>
    <xdr:from>
      <xdr:col>17</xdr:col>
      <xdr:colOff>203200</xdr:colOff>
      <xdr:row>27</xdr:row>
      <xdr:rowOff>203200</xdr:rowOff>
    </xdr:from>
    <xdr:to>
      <xdr:col>24</xdr:col>
      <xdr:colOff>317500</xdr:colOff>
      <xdr:row>41</xdr:row>
      <xdr:rowOff>152400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4617700" y="7454900"/>
          <a:ext cx="4686300" cy="400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spcAft>
              <a:spcPts val="400"/>
            </a:spcAft>
          </a:pPr>
          <a:r>
            <a:rPr lang="en-AU" sz="1400" b="1">
              <a:solidFill>
                <a:schemeClr val="dk1"/>
              </a:solidFill>
              <a:effectLst/>
              <a:latin typeface="+mn-lt"/>
              <a:ea typeface="+mn-ea"/>
              <a:cs typeface="+mn-cs"/>
            </a:rPr>
            <a:t>Solver Process</a:t>
          </a:r>
          <a:endParaRPr lang="en-AU" sz="1100" b="1" baseline="0">
            <a:solidFill>
              <a:schemeClr val="dk1"/>
            </a:solidFill>
            <a:effectLst/>
            <a:latin typeface="+mn-lt"/>
            <a:ea typeface="+mn-ea"/>
            <a:cs typeface="+mn-cs"/>
          </a:endParaRPr>
        </a:p>
        <a:p>
          <a:pPr lvl="0">
            <a:spcAft>
              <a:spcPts val="400"/>
            </a:spcAft>
          </a:pPr>
          <a:r>
            <a:rPr lang="en-AU" sz="1100">
              <a:solidFill>
                <a:schemeClr val="dk1"/>
              </a:solidFill>
              <a:effectLst/>
              <a:latin typeface="+mn-lt"/>
              <a:ea typeface="+mn-ea"/>
              <a:cs typeface="+mn-cs"/>
            </a:rPr>
            <a:t>1. Solver is set to use a non-linear programming approach to solve for the mix of waters that meets the constraints (user defined values) in columns 2 to 4 and 6 to 12.</a:t>
          </a:r>
        </a:p>
        <a:p>
          <a:pPr lvl="1">
            <a:spcAft>
              <a:spcPts val="400"/>
            </a:spcAft>
          </a:pPr>
          <a:r>
            <a:rPr lang="en-AU" sz="1100">
              <a:solidFill>
                <a:schemeClr val="dk1"/>
              </a:solidFill>
              <a:effectLst/>
              <a:latin typeface="+mn-lt"/>
              <a:ea typeface="+mn-ea"/>
              <a:cs typeface="+mn-cs"/>
            </a:rPr>
            <a:t>(a)  If a solution is found, the Solver Results dialog box will display the message </a:t>
          </a:r>
          <a:r>
            <a:rPr lang="en-AU" sz="1100" b="1">
              <a:solidFill>
                <a:schemeClr val="dk1"/>
              </a:solidFill>
              <a:effectLst/>
              <a:latin typeface="+mn-lt"/>
              <a:ea typeface="+mn-ea"/>
              <a:cs typeface="+mn-cs"/>
            </a:rPr>
            <a:t>“Solver has found a solution”</a:t>
          </a:r>
          <a:r>
            <a:rPr lang="en-AU" sz="1100">
              <a:solidFill>
                <a:schemeClr val="dk1"/>
              </a:solidFill>
              <a:effectLst/>
              <a:latin typeface="+mn-lt"/>
              <a:ea typeface="+mn-ea"/>
              <a:cs typeface="+mn-cs"/>
            </a:rPr>
            <a:t> and the values will be displayed in columns 5, and 17 to 21. The Solver optimisation will give one of a possible set of values. It is not necessarily the optimum value depending on the slope of the approach to the optimum value. </a:t>
          </a:r>
        </a:p>
        <a:p>
          <a:pPr lvl="1">
            <a:spcAft>
              <a:spcPts val="400"/>
            </a:spcAft>
          </a:pPr>
          <a:r>
            <a:rPr lang="en-AU" sz="1100">
              <a:solidFill>
                <a:schemeClr val="dk1"/>
              </a:solidFill>
              <a:effectLst/>
              <a:latin typeface="+mn-lt"/>
              <a:ea typeface="+mn-ea"/>
              <a:cs typeface="+mn-cs"/>
            </a:rPr>
            <a:t>(b)  If a solution is not possible, the text </a:t>
          </a:r>
          <a:r>
            <a:rPr lang="en-AU" sz="1100" b="1">
              <a:solidFill>
                <a:schemeClr val="dk1"/>
              </a:solidFill>
              <a:effectLst/>
              <a:latin typeface="+mn-lt"/>
              <a:ea typeface="+mn-ea"/>
              <a:cs typeface="+mn-cs"/>
            </a:rPr>
            <a:t>“Solver could not find a feasible solution"</a:t>
          </a:r>
          <a:r>
            <a:rPr lang="en-AU" sz="1100">
              <a:solidFill>
                <a:schemeClr val="dk1"/>
              </a:solidFill>
              <a:effectLst/>
              <a:latin typeface="+mn-lt"/>
              <a:ea typeface="+mn-ea"/>
              <a:cs typeface="+mn-cs"/>
            </a:rPr>
            <a:t> will be displayed and red messages will be shown under columns 17 to 21 to indicate what did not meet the user defined values. </a:t>
          </a:r>
        </a:p>
        <a:p>
          <a:pPr lvl="1">
            <a:spcAft>
              <a:spcPts val="400"/>
            </a:spcAft>
          </a:pPr>
          <a:r>
            <a:rPr lang="en-AU" sz="1100">
              <a:solidFill>
                <a:schemeClr val="dk1"/>
              </a:solidFill>
              <a:effectLst/>
              <a:latin typeface="+mn-lt"/>
              <a:ea typeface="+mn-ea"/>
              <a:cs typeface="+mn-cs"/>
            </a:rPr>
            <a:t>(c)</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If the Solver Results dialog box displays the message </a:t>
          </a:r>
          <a:r>
            <a:rPr lang="en-AU" sz="1100" b="1">
              <a:solidFill>
                <a:schemeClr val="dk1"/>
              </a:solidFill>
              <a:effectLst/>
              <a:latin typeface="+mn-lt"/>
              <a:ea typeface="+mn-ea"/>
              <a:cs typeface="+mn-cs"/>
            </a:rPr>
            <a:t>"Solver encountered an error value in the Objective Cell or a Constraint cell"</a:t>
          </a:r>
          <a:r>
            <a:rPr lang="en-AU" sz="1100">
              <a:solidFill>
                <a:schemeClr val="dk1"/>
              </a:solidFill>
              <a:effectLst/>
              <a:latin typeface="+mn-lt"/>
              <a:ea typeface="+mn-ea"/>
              <a:cs typeface="+mn-cs"/>
            </a:rPr>
            <a:t> or another error message, you will need to check the following areas:</a:t>
          </a:r>
        </a:p>
        <a:p>
          <a:pPr lvl="0">
            <a:spcAft>
              <a:spcPts val="400"/>
            </a:spcAft>
          </a:pPr>
          <a:r>
            <a:rPr lang="en-AU" sz="1100">
              <a:solidFill>
                <a:schemeClr val="dk1"/>
              </a:solidFill>
              <a:effectLst/>
              <a:latin typeface="+mn-lt"/>
              <a:ea typeface="+mn-ea"/>
              <a:cs typeface="+mn-cs"/>
            </a:rPr>
            <a:t>	*  Make sure you have at least 2 water sources in Column 1</a:t>
          </a:r>
        </a:p>
        <a:p>
          <a:pPr lvl="0">
            <a:spcAft>
              <a:spcPts val="400"/>
            </a:spcAft>
          </a:pPr>
          <a:r>
            <a:rPr lang="en-AU" sz="1100">
              <a:solidFill>
                <a:schemeClr val="dk1"/>
              </a:solidFill>
              <a:effectLst/>
              <a:latin typeface="+mn-lt"/>
              <a:ea typeface="+mn-ea"/>
              <a:cs typeface="+mn-cs"/>
            </a:rPr>
            <a:t>	*  For the chosen water sources, the minimum in Column 7 	must be lower than the upper limit in Column 6.</a:t>
          </a:r>
        </a:p>
        <a:p>
          <a:pPr lvl="0">
            <a:spcAft>
              <a:spcPts val="400"/>
            </a:spcAft>
          </a:pPr>
          <a:r>
            <a:rPr lang="en-AU" sz="1100">
              <a:solidFill>
                <a:schemeClr val="dk1"/>
              </a:solidFill>
              <a:effectLst/>
              <a:latin typeface="+mn-lt"/>
              <a:ea typeface="+mn-ea"/>
              <a:cs typeface="+mn-cs"/>
            </a:rPr>
            <a:t>	*  That the values in all the user defined columns are correct.</a:t>
          </a:r>
        </a:p>
      </xdr:txBody>
    </xdr:sp>
    <xdr:clientData/>
  </xdr:twoCellAnchor>
  <xdr:twoCellAnchor>
    <xdr:from>
      <xdr:col>3</xdr:col>
      <xdr:colOff>768350</xdr:colOff>
      <xdr:row>44</xdr:row>
      <xdr:rowOff>88900</xdr:rowOff>
    </xdr:from>
    <xdr:to>
      <xdr:col>13</xdr:col>
      <xdr:colOff>50800</xdr:colOff>
      <xdr:row>54</xdr:row>
      <xdr:rowOff>203200</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3130550" y="12611100"/>
          <a:ext cx="8375650" cy="2019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Aft>
              <a:spcPts val="400"/>
            </a:spcAft>
          </a:pPr>
          <a:r>
            <a:rPr lang="en-AU" sz="1400" b="1">
              <a:solidFill>
                <a:schemeClr val="dk1"/>
              </a:solidFill>
              <a:effectLst/>
              <a:latin typeface="+mn-lt"/>
              <a:ea typeface="+mn-ea"/>
              <a:cs typeface="+mn-cs"/>
            </a:rPr>
            <a:t>Interpreting the Results</a:t>
          </a:r>
        </a:p>
        <a:p>
          <a:pPr>
            <a:spcAft>
              <a:spcPts val="400"/>
            </a:spcAft>
          </a:pPr>
          <a:r>
            <a:rPr lang="en-AU" sz="1100">
              <a:solidFill>
                <a:schemeClr val="dk1"/>
              </a:solidFill>
              <a:effectLst/>
              <a:latin typeface="+mn-lt"/>
              <a:ea typeface="+mn-ea"/>
              <a:cs typeface="+mn-cs"/>
            </a:rPr>
            <a:t>Column 5	Quantities of water sources for the optimum mix. These should differ from the numbers in column 4. </a:t>
          </a:r>
        </a:p>
        <a:p>
          <a:pPr>
            <a:spcAft>
              <a:spcPts val="400"/>
            </a:spcAft>
          </a:pPr>
          <a:r>
            <a:rPr lang="en-AU" sz="1100">
              <a:solidFill>
                <a:schemeClr val="dk1"/>
              </a:solidFill>
              <a:effectLst/>
              <a:latin typeface="+mn-lt"/>
              <a:ea typeface="+mn-ea"/>
              <a:cs typeface="+mn-cs"/>
            </a:rPr>
            <a:t>Cols 13-15	The max EC</a:t>
          </a:r>
          <a:r>
            <a:rPr lang="en-AU" sz="1100" baseline="-25000">
              <a:solidFill>
                <a:schemeClr val="dk1"/>
              </a:solidFill>
              <a:effectLst/>
              <a:latin typeface="+mn-lt"/>
              <a:ea typeface="+mn-ea"/>
              <a:cs typeface="+mn-cs"/>
            </a:rPr>
            <a:t>i</a:t>
          </a:r>
          <a:r>
            <a:rPr lang="en-AU" sz="1100">
              <a:solidFill>
                <a:schemeClr val="dk1"/>
              </a:solidFill>
              <a:effectLst/>
              <a:latin typeface="+mn-lt"/>
              <a:ea typeface="+mn-ea"/>
              <a:cs typeface="+mn-cs"/>
            </a:rPr>
            <a:t> for plant yield for the plant chosen for various LF values based on the plant yield % chosen in column 8. </a:t>
          </a:r>
        </a:p>
        <a:p>
          <a:pPr>
            <a:spcAft>
              <a:spcPts val="400"/>
            </a:spcAft>
          </a:pPr>
          <a:r>
            <a:rPr lang="en-AU" sz="1100">
              <a:solidFill>
                <a:schemeClr val="dk1"/>
              </a:solidFill>
              <a:effectLst/>
              <a:latin typeface="+mn-lt"/>
              <a:ea typeface="+mn-ea"/>
              <a:cs typeface="+mn-cs"/>
            </a:rPr>
            <a:t>Col 16	The actual plant yield % predicted for the mixed water. Yield% may increase if rainfall has not been included.</a:t>
          </a:r>
        </a:p>
        <a:p>
          <a:pPr>
            <a:spcBef>
              <a:spcPts val="0"/>
            </a:spcBef>
            <a:spcAft>
              <a:spcPts val="400"/>
            </a:spcAft>
          </a:pPr>
          <a:r>
            <a:rPr lang="en-AU" sz="1100">
              <a:solidFill>
                <a:schemeClr val="dk1"/>
              </a:solidFill>
              <a:effectLst/>
              <a:latin typeface="+mn-lt"/>
              <a:ea typeface="+mn-ea"/>
              <a:cs typeface="+mn-cs"/>
            </a:rPr>
            <a:t>Col 17	The EC</a:t>
          </a:r>
          <a:r>
            <a:rPr lang="en-AU" sz="1100" baseline="-25000">
              <a:solidFill>
                <a:schemeClr val="dk1"/>
              </a:solidFill>
              <a:effectLst/>
              <a:latin typeface="+mn-lt"/>
              <a:ea typeface="+mn-ea"/>
              <a:cs typeface="+mn-cs"/>
            </a:rPr>
            <a:t>i</a:t>
          </a:r>
          <a:r>
            <a:rPr lang="en-AU" sz="1100">
              <a:solidFill>
                <a:schemeClr val="dk1"/>
              </a:solidFill>
              <a:effectLst/>
              <a:latin typeface="+mn-lt"/>
              <a:ea typeface="+mn-ea"/>
              <a:cs typeface="+mn-cs"/>
            </a:rPr>
            <a:t> </a:t>
          </a:r>
          <a:r>
            <a:rPr lang="en-AU" sz="1100" baseline="-25000">
              <a:solidFill>
                <a:schemeClr val="dk1"/>
              </a:solidFill>
              <a:effectLst/>
              <a:latin typeface="+mn-lt"/>
              <a:ea typeface="+mn-ea"/>
              <a:cs typeface="+mn-cs"/>
            </a:rPr>
            <a:t>mix</a:t>
          </a:r>
          <a:r>
            <a:rPr lang="en-AU" sz="1100">
              <a:solidFill>
                <a:schemeClr val="dk1"/>
              </a:solidFill>
              <a:effectLst/>
              <a:latin typeface="+mn-lt"/>
              <a:ea typeface="+mn-ea"/>
              <a:cs typeface="+mn-cs"/>
            </a:rPr>
            <a:t> of the mixed water sources may or may not include rainfall depending on the selected values in columns 2 and 4.</a:t>
          </a:r>
        </a:p>
        <a:p>
          <a:pPr>
            <a:spcAft>
              <a:spcPts val="400"/>
            </a:spcAft>
          </a:pPr>
          <a:r>
            <a:rPr lang="en-AU" sz="1100">
              <a:solidFill>
                <a:schemeClr val="dk1"/>
              </a:solidFill>
              <a:effectLst/>
              <a:latin typeface="+mn-lt"/>
              <a:ea typeface="+mn-ea"/>
              <a:cs typeface="+mn-cs"/>
            </a:rPr>
            <a:t>Cols 18-21	The SAR values and the gypsum addition for the two estimates of SAR as set in the user defined values columns 9, 11 and 12.</a:t>
          </a:r>
        </a:p>
        <a:p>
          <a:pPr>
            <a:spcAft>
              <a:spcPts val="400"/>
            </a:spcAft>
          </a:pPr>
          <a:r>
            <a:rPr lang="en-AU" sz="1100">
              <a:solidFill>
                <a:schemeClr val="dk1"/>
              </a:solidFill>
              <a:effectLst/>
              <a:latin typeface="+mn-lt"/>
              <a:ea typeface="+mn-ea"/>
              <a:cs typeface="+mn-cs"/>
            </a:rPr>
            <a:t>Cols 22-24	The estimated Dd for the three LFs for the water application in Col 3 of irrigation + rainfall does not account for changes in soil permeability. Need to run the PREDICTIVE CALCULATOR with the results of EC</a:t>
          </a:r>
          <a:r>
            <a:rPr lang="en-AU" sz="1100" baseline="-25000">
              <a:solidFill>
                <a:schemeClr val="dk1"/>
              </a:solidFill>
              <a:effectLst/>
              <a:latin typeface="+mn-lt"/>
              <a:ea typeface="+mn-ea"/>
              <a:cs typeface="+mn-cs"/>
            </a:rPr>
            <a:t>imix</a:t>
          </a:r>
          <a:r>
            <a:rPr lang="en-AU" sz="1100">
              <a:solidFill>
                <a:schemeClr val="dk1"/>
              </a:solidFill>
              <a:effectLst/>
              <a:latin typeface="+mn-lt"/>
              <a:ea typeface="+mn-ea"/>
              <a:cs typeface="+mn-cs"/>
            </a:rPr>
            <a:t> and SAR</a:t>
          </a:r>
          <a:r>
            <a:rPr lang="en-AU" sz="1100" baseline="-25000">
              <a:solidFill>
                <a:schemeClr val="dk1"/>
              </a:solidFill>
              <a:effectLst/>
              <a:latin typeface="+mn-lt"/>
              <a:ea typeface="+mn-ea"/>
              <a:cs typeface="+mn-cs"/>
            </a:rPr>
            <a:t>adjCaimix</a:t>
          </a:r>
          <a:r>
            <a:rPr lang="en-AU" sz="1100">
              <a:solidFill>
                <a:schemeClr val="dk1"/>
              </a:solidFill>
              <a:effectLst/>
              <a:latin typeface="+mn-lt"/>
              <a:ea typeface="+mn-ea"/>
              <a:cs typeface="+mn-cs"/>
            </a:rPr>
            <a:t> as inputs for particular soil properties.</a:t>
          </a:r>
        </a:p>
        <a:p>
          <a:endParaRPr lang="en-AU" sz="1100"/>
        </a:p>
      </xdr:txBody>
    </xdr:sp>
    <xdr:clientData/>
  </xdr:twoCellAnchor>
  <xdr:twoCellAnchor>
    <xdr:from>
      <xdr:col>1</xdr:col>
      <xdr:colOff>152400</xdr:colOff>
      <xdr:row>44</xdr:row>
      <xdr:rowOff>63500</xdr:rowOff>
    </xdr:from>
    <xdr:to>
      <xdr:col>3</xdr:col>
      <xdr:colOff>622300</xdr:colOff>
      <xdr:row>54</xdr:row>
      <xdr:rowOff>76200</xdr:rowOff>
    </xdr:to>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68300" y="12395200"/>
          <a:ext cx="2616200" cy="191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a:solidFill>
                <a:schemeClr val="dk1"/>
              </a:solidFill>
              <a:effectLst/>
              <a:latin typeface="+mn-lt"/>
              <a:ea typeface="+mn-ea"/>
              <a:cs typeface="+mn-cs"/>
            </a:rPr>
            <a:t>How to load Solver if not already loaded</a:t>
          </a:r>
        </a:p>
        <a:p>
          <a:r>
            <a:rPr lang="en-AU" sz="1100">
              <a:solidFill>
                <a:schemeClr val="dk1"/>
              </a:solidFill>
              <a:effectLst/>
              <a:latin typeface="+mn-lt"/>
              <a:ea typeface="+mn-ea"/>
              <a:cs typeface="+mn-cs"/>
            </a:rPr>
            <a:t>Click the Microsoft Office Button, and then click Excel Options.</a:t>
          </a:r>
          <a:endParaRPr lang="en-AU">
            <a:effectLst/>
          </a:endParaRPr>
        </a:p>
        <a:p>
          <a:r>
            <a:rPr lang="en-AU" sz="1100">
              <a:solidFill>
                <a:schemeClr val="dk1"/>
              </a:solidFill>
              <a:effectLst/>
              <a:latin typeface="+mn-lt"/>
              <a:ea typeface="+mn-ea"/>
              <a:cs typeface="+mn-cs"/>
            </a:rPr>
            <a:t>Click Add-Ins, and then in the Manage box, select Excel Add-ins.</a:t>
          </a:r>
          <a:endParaRPr lang="en-AU">
            <a:effectLst/>
          </a:endParaRPr>
        </a:p>
        <a:p>
          <a:r>
            <a:rPr lang="en-AU" sz="1100">
              <a:solidFill>
                <a:schemeClr val="dk1"/>
              </a:solidFill>
              <a:effectLst/>
              <a:latin typeface="+mn-lt"/>
              <a:ea typeface="+mn-ea"/>
              <a:cs typeface="+mn-cs"/>
            </a:rPr>
            <a:t>Click Go.</a:t>
          </a:r>
          <a:endParaRPr lang="en-AU">
            <a:effectLst/>
          </a:endParaRPr>
        </a:p>
        <a:p>
          <a:r>
            <a:rPr lang="en-AU" sz="1100">
              <a:solidFill>
                <a:schemeClr val="dk1"/>
              </a:solidFill>
              <a:effectLst/>
              <a:latin typeface="+mn-lt"/>
              <a:ea typeface="+mn-ea"/>
              <a:cs typeface="+mn-cs"/>
            </a:rPr>
            <a:t>In the Add-Ins available box, select the Solver Add-in check box, and then click OK.</a:t>
          </a:r>
          <a:endParaRPr lang="en-AU">
            <a:effectLst/>
          </a:endParaRPr>
        </a:p>
        <a:p>
          <a:endParaRPr lang="en-AU" sz="1100"/>
        </a:p>
      </xdr:txBody>
    </xdr:sp>
    <xdr:clientData/>
  </xdr:twoCellAnchor>
  <xdr:twoCellAnchor>
    <xdr:from>
      <xdr:col>14</xdr:col>
      <xdr:colOff>431800</xdr:colOff>
      <xdr:row>41</xdr:row>
      <xdr:rowOff>139700</xdr:rowOff>
    </xdr:from>
    <xdr:to>
      <xdr:col>24</xdr:col>
      <xdr:colOff>317500</xdr:colOff>
      <xdr:row>54</xdr:row>
      <xdr:rowOff>266700</xdr:rowOff>
    </xdr:to>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12827000" y="11887200"/>
          <a:ext cx="6451600" cy="306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mn-lt"/>
              <a:ea typeface="+mn-ea"/>
              <a:cs typeface="+mn-cs"/>
            </a:rPr>
            <a:t>2.  If Solver still cannot find a feasible solution, vary the user defined values or the minimum and maximum values of water application (Columns 6 and 7). </a:t>
          </a:r>
          <a:endParaRPr lang="en-AU">
            <a:effectLst/>
          </a:endParaRPr>
        </a:p>
        <a:p>
          <a:r>
            <a:rPr lang="en-AU" sz="1100">
              <a:solidFill>
                <a:schemeClr val="dk1"/>
              </a:solidFill>
              <a:effectLst/>
              <a:latin typeface="+mn-lt"/>
              <a:ea typeface="+mn-ea"/>
              <a:cs typeface="+mn-cs"/>
            </a:rPr>
            <a:t>3.  Notes in red will appear below columns 13 to 21 indicating which constraint in the user defined values has not been met by the Solver process. Varying the user defined values (columns 6 to 12) can lead to a solution.</a:t>
          </a:r>
          <a:endParaRPr lang="en-AU">
            <a:effectLst/>
          </a:endParaRPr>
        </a:p>
        <a:p>
          <a:r>
            <a:rPr lang="en-AU" sz="1100">
              <a:solidFill>
                <a:schemeClr val="dk1"/>
              </a:solidFill>
              <a:effectLst/>
              <a:latin typeface="+mn-lt"/>
              <a:ea typeface="+mn-ea"/>
              <a:cs typeface="+mn-cs"/>
            </a:rPr>
            <a:t>4.   If a solution is still not found:</a:t>
          </a:r>
          <a:endParaRPr lang="en-AU">
            <a:effectLst/>
          </a:endParaRPr>
        </a:p>
        <a:p>
          <a:r>
            <a:rPr lang="en-AU" sz="1100">
              <a:solidFill>
                <a:schemeClr val="dk1"/>
              </a:solidFill>
              <a:effectLst/>
              <a:latin typeface="+mn-lt"/>
              <a:ea typeface="+mn-ea"/>
              <a:cs typeface="+mn-cs"/>
            </a:rPr>
            <a:t>           (a)  Make sure the upper limits on the water sources are at least higher than the </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value in the green box </a:t>
          </a:r>
        </a:p>
        <a:p>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in Column 3 unless there is a physical limit to the supply  quantity. </a:t>
          </a:r>
          <a:endParaRPr lang="en-AU">
            <a:effectLst/>
          </a:endParaRPr>
        </a:p>
        <a:p>
          <a:r>
            <a:rPr lang="en-AU" sz="1100">
              <a:solidFill>
                <a:schemeClr val="dk1"/>
              </a:solidFill>
              <a:effectLst/>
              <a:latin typeface="+mn-lt"/>
              <a:ea typeface="+mn-ea"/>
              <a:cs typeface="+mn-cs"/>
            </a:rPr>
            <a:t> </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(b)  If the poorest quality water source is not mandatory to use in the mix, removing  it from the </a:t>
          </a:r>
        </a:p>
        <a:p>
          <a:r>
            <a:rPr lang="en-AU" sz="1100">
              <a:solidFill>
                <a:schemeClr val="dk1"/>
              </a:solidFill>
              <a:effectLst/>
              <a:latin typeface="+mn-lt"/>
              <a:ea typeface="+mn-ea"/>
              <a:cs typeface="+mn-cs"/>
            </a:rPr>
            <a:t>                   selection in Column 1 may improve the results.</a:t>
          </a:r>
          <a:endParaRPr lang="en-AU">
            <a:effectLst/>
          </a:endParaRPr>
        </a:p>
        <a:p>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  If rainfall has not been included so far in the process, adding a beginning estimate of 20% of the </a:t>
          </a:r>
        </a:p>
        <a:p>
          <a:r>
            <a:rPr lang="en-AU" sz="1100">
              <a:solidFill>
                <a:schemeClr val="dk1"/>
              </a:solidFill>
              <a:effectLst/>
              <a:latin typeface="+mn-lt"/>
              <a:ea typeface="+mn-ea"/>
              <a:cs typeface="+mn-cs"/>
            </a:rPr>
            <a:t>                   annual rainfall may improve the solution results. See Step 1  of the data input Instructions for </a:t>
          </a:r>
        </a:p>
        <a:p>
          <a:r>
            <a:rPr lang="en-AU" sz="1100">
              <a:solidFill>
                <a:schemeClr val="dk1"/>
              </a:solidFill>
              <a:effectLst/>
              <a:latin typeface="+mn-lt"/>
              <a:ea typeface="+mn-ea"/>
              <a:cs typeface="+mn-cs"/>
            </a:rPr>
            <a:t>                   details.</a:t>
          </a:r>
        </a:p>
        <a:p>
          <a:r>
            <a:rPr lang="en-AU" sz="1100">
              <a:solidFill>
                <a:schemeClr val="dk1"/>
              </a:solidFill>
              <a:effectLst/>
              <a:latin typeface="+mn-lt"/>
              <a:ea typeface="+mn-ea"/>
              <a:cs typeface="+mn-cs"/>
            </a:rPr>
            <a:t>5. Occasionally Solver will give a strange ###### in some result</a:t>
          </a:r>
          <a:r>
            <a:rPr lang="en-AU" sz="1100" baseline="0">
              <a:solidFill>
                <a:schemeClr val="dk1"/>
              </a:solidFill>
              <a:effectLst/>
              <a:latin typeface="+mn-lt"/>
              <a:ea typeface="+mn-ea"/>
              <a:cs typeface="+mn-cs"/>
            </a:rPr>
            <a:t> </a:t>
          </a:r>
          <a:r>
            <a:rPr lang="en-AU" sz="1100">
              <a:solidFill>
                <a:schemeClr val="dk1"/>
              </a:solidFill>
              <a:effectLst/>
              <a:latin typeface="+mn-lt"/>
              <a:ea typeface="+mn-ea"/>
              <a:cs typeface="+mn-cs"/>
            </a:rPr>
            <a:t>cells. This seems to be due to how Solver approaches the optimum. Try variations in columns 8 to 12 and approach the end point more progressively. If you have saved the</a:t>
          </a:r>
          <a:r>
            <a:rPr lang="en-AU" sz="1100" baseline="0">
              <a:solidFill>
                <a:schemeClr val="dk1"/>
              </a:solidFill>
              <a:effectLst/>
              <a:latin typeface="+mn-lt"/>
              <a:ea typeface="+mn-ea"/>
              <a:cs typeface="+mn-cs"/>
            </a:rPr>
            <a:t> spreadsheet before beginning with Solver, reopening the workbook may help.</a:t>
          </a:r>
          <a:endParaRPr lang="en-AU" sz="1100"/>
        </a:p>
      </xdr:txBody>
    </xdr:sp>
    <xdr:clientData/>
  </xdr:twoCellAnchor>
  <xdr:twoCellAnchor editAs="oneCell">
    <xdr:from>
      <xdr:col>1</xdr:col>
      <xdr:colOff>0</xdr:colOff>
      <xdr:row>58</xdr:row>
      <xdr:rowOff>0</xdr:rowOff>
    </xdr:from>
    <xdr:to>
      <xdr:col>7</xdr:col>
      <xdr:colOff>126305</xdr:colOff>
      <xdr:row>86</xdr:row>
      <xdr:rowOff>15172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215900" y="15367000"/>
          <a:ext cx="5561905" cy="56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7</xdr:col>
      <xdr:colOff>95250</xdr:colOff>
      <xdr:row>128</xdr:row>
      <xdr:rowOff>47625</xdr:rowOff>
    </xdr:to>
    <xdr:pic>
      <xdr:nvPicPr>
        <xdr:cNvPr id="2" name="Picture 1" descr="C:\Users\Roger\Desktop\Shockley root zone water uptake.tif">
          <a:extLst>
            <a:ext uri="{FF2B5EF4-FFF2-40B4-BE49-F238E27FC236}">
              <a16:creationId xmlns:a16="http://schemas.microsoft.com/office/drawing/2014/main" id="{00000000-0008-0000-0A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60" t="15764" r="15750" b="29911"/>
        <a:stretch/>
      </xdr:blipFill>
      <xdr:spPr bwMode="auto">
        <a:xfrm>
          <a:off x="228600" y="28746450"/>
          <a:ext cx="3724275" cy="34766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219075</xdr:colOff>
      <xdr:row>137</xdr:row>
      <xdr:rowOff>1885950</xdr:rowOff>
    </xdr:from>
    <xdr:to>
      <xdr:col>8</xdr:col>
      <xdr:colOff>180975</xdr:colOff>
      <xdr:row>158</xdr:row>
      <xdr:rowOff>10160</xdr:rowOff>
    </xdr:to>
    <xdr:pic>
      <xdr:nvPicPr>
        <xdr:cNvPr id="3" name="Picture 2" descr="D:\Roger on D drive\Pictures\Diagrams\Infilt rate EC SAR0002.tif">
          <a:extLst>
            <a:ext uri="{FF2B5EF4-FFF2-40B4-BE49-F238E27FC236}">
              <a16:creationId xmlns:a16="http://schemas.microsoft.com/office/drawing/2014/main" id="{00000000-0008-0000-0A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38811"/>
        <a:stretch/>
      </xdr:blipFill>
      <xdr:spPr bwMode="auto">
        <a:xfrm>
          <a:off x="219075" y="38223825"/>
          <a:ext cx="4429125" cy="3832860"/>
        </a:xfrm>
        <a:prstGeom prst="rect">
          <a:avLst/>
        </a:prstGeom>
        <a:noFill/>
        <a:ln>
          <a:noFill/>
        </a:ln>
        <a:extLst>
          <a:ext uri="{53640926-AAD7-44D8-BBD7-CCE9431645EC}">
            <a14:shadowObscured xmlns:a14="http://schemas.microsoft.com/office/drawing/2010/main"/>
          </a:ext>
        </a:extLst>
      </xdr:spPr>
    </xdr:pic>
    <xdr:clientData/>
  </xdr:twoCellAnchor>
  <xdr:twoCellAnchor>
    <xdr:from>
      <xdr:col>1</xdr:col>
      <xdr:colOff>742950</xdr:colOff>
      <xdr:row>169</xdr:row>
      <xdr:rowOff>133350</xdr:rowOff>
    </xdr:from>
    <xdr:to>
      <xdr:col>8</xdr:col>
      <xdr:colOff>571500</xdr:colOff>
      <xdr:row>188</xdr:row>
      <xdr:rowOff>9525</xdr:rowOff>
    </xdr:to>
    <xdr:grpSp>
      <xdr:nvGrpSpPr>
        <xdr:cNvPr id="12289" name="Group 2">
          <a:extLst>
            <a:ext uri="{FF2B5EF4-FFF2-40B4-BE49-F238E27FC236}">
              <a16:creationId xmlns:a16="http://schemas.microsoft.com/office/drawing/2014/main" id="{00000000-0008-0000-0A00-000001300000}"/>
            </a:ext>
          </a:extLst>
        </xdr:cNvPr>
        <xdr:cNvGrpSpPr>
          <a:grpSpLocks/>
        </xdr:cNvGrpSpPr>
      </xdr:nvGrpSpPr>
      <xdr:grpSpPr bwMode="auto">
        <a:xfrm>
          <a:off x="981075" y="44805600"/>
          <a:ext cx="4162425" cy="3349625"/>
          <a:chOff x="0" y="0"/>
          <a:chExt cx="69929" cy="57689"/>
        </a:xfrm>
      </xdr:grpSpPr>
      <xdr:pic>
        <xdr:nvPicPr>
          <xdr:cNvPr id="5" name="Picture 2" descr="Lockyer LF bar graph">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922" t="15341" r="26593" b="41762"/>
          <a:stretch>
            <a:fillRect/>
          </a:stretch>
        </xdr:blipFill>
        <xdr:spPr bwMode="auto">
          <a:xfrm>
            <a:off x="0" y="0"/>
            <a:ext cx="69929" cy="57689"/>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2291" name="Straight Connector 4">
            <a:extLst>
              <a:ext uri="{FF2B5EF4-FFF2-40B4-BE49-F238E27FC236}">
                <a16:creationId xmlns:a16="http://schemas.microsoft.com/office/drawing/2014/main" id="{00000000-0008-0000-0A00-000003300000}"/>
              </a:ext>
            </a:extLst>
          </xdr:cNvPr>
          <xdr:cNvCxnSpPr>
            <a:cxnSpLocks noChangeShapeType="1"/>
          </xdr:cNvCxnSpPr>
        </xdr:nvCxnSpPr>
        <xdr:spPr bwMode="auto">
          <a:xfrm rot="16200000" flipV="1">
            <a:off x="14748" y="26336"/>
            <a:ext cx="45402" cy="32"/>
          </a:xfrm>
          <a:prstGeom prst="line">
            <a:avLst/>
          </a:prstGeom>
          <a:noFill/>
          <a:ln w="15875">
            <a:solidFill>
              <a:srgbClr val="000000"/>
            </a:solidFill>
            <a:prstDash val="sysDash"/>
            <a:round/>
            <a:headEnd/>
            <a:tailEnd/>
          </a:ln>
          <a:extLst>
            <a:ext uri="{909E8E84-426E-40DD-AFC4-6F175D3DCCD1}">
              <a14:hiddenFill xmlns:a14="http://schemas.microsoft.com/office/drawing/2010/main">
                <a:noFill/>
              </a14:hiddenFill>
            </a:ext>
          </a:extLst>
        </xdr:spPr>
      </xdr:cxnSp>
      <xdr:cxnSp macro="">
        <xdr:nvCxnSpPr>
          <xdr:cNvPr id="12292" name="Straight Connector 5">
            <a:extLst>
              <a:ext uri="{FF2B5EF4-FFF2-40B4-BE49-F238E27FC236}">
                <a16:creationId xmlns:a16="http://schemas.microsoft.com/office/drawing/2014/main" id="{00000000-0008-0000-0A00-000004300000}"/>
              </a:ext>
            </a:extLst>
          </xdr:cNvPr>
          <xdr:cNvCxnSpPr>
            <a:cxnSpLocks noChangeShapeType="1"/>
          </xdr:cNvCxnSpPr>
        </xdr:nvCxnSpPr>
        <xdr:spPr bwMode="auto">
          <a:xfrm rot="16200000" flipV="1">
            <a:off x="29288" y="26336"/>
            <a:ext cx="45402" cy="32"/>
          </a:xfrm>
          <a:prstGeom prst="line">
            <a:avLst/>
          </a:prstGeom>
          <a:noFill/>
          <a:ln w="15875">
            <a:solidFill>
              <a:srgbClr val="000000"/>
            </a:solidFill>
            <a:prstDash val="sysDash"/>
            <a:round/>
            <a:headEnd/>
            <a:tailEnd/>
          </a:ln>
          <a:extLst>
            <a:ext uri="{909E8E84-426E-40DD-AFC4-6F175D3DCCD1}">
              <a14:hiddenFill xmlns:a14="http://schemas.microsoft.com/office/drawing/2010/main">
                <a:noFill/>
              </a14:hiddenFill>
            </a:ext>
          </a:extLst>
        </xdr:spPr>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22224</xdr:colOff>
      <xdr:row>78</xdr:row>
      <xdr:rowOff>95252</xdr:rowOff>
    </xdr:from>
    <xdr:to>
      <xdr:col>3</xdr:col>
      <xdr:colOff>1206500</xdr:colOff>
      <xdr:row>90</xdr:row>
      <xdr:rowOff>66992</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822" t="24229" r="28599" b="19013"/>
        <a:stretch/>
      </xdr:blipFill>
      <xdr:spPr>
        <a:xfrm>
          <a:off x="317499" y="33394652"/>
          <a:ext cx="3251201" cy="2143440"/>
        </a:xfrm>
        <a:prstGeom prst="rect">
          <a:avLst/>
        </a:prstGeom>
      </xdr:spPr>
    </xdr:pic>
    <xdr:clientData/>
  </xdr:twoCellAnchor>
  <xdr:twoCellAnchor editAs="oneCell">
    <xdr:from>
      <xdr:col>0</xdr:col>
      <xdr:colOff>285750</xdr:colOff>
      <xdr:row>91</xdr:row>
      <xdr:rowOff>19052</xdr:rowOff>
    </xdr:from>
    <xdr:to>
      <xdr:col>4</xdr:col>
      <xdr:colOff>104775</xdr:colOff>
      <xdr:row>107</xdr:row>
      <xdr:rowOff>57223</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357" t="14134" r="5587" b="7072"/>
        <a:stretch/>
      </xdr:blipFill>
      <xdr:spPr>
        <a:xfrm>
          <a:off x="285750" y="35671127"/>
          <a:ext cx="5962650" cy="29337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1371599</xdr:colOff>
      <xdr:row>15</xdr:row>
      <xdr:rowOff>76200</xdr:rowOff>
    </xdr:from>
    <xdr:to>
      <xdr:col>3</xdr:col>
      <xdr:colOff>2514600</xdr:colOff>
      <xdr:row>17</xdr:row>
      <xdr:rowOff>114301</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209924" y="4391025"/>
          <a:ext cx="1143001" cy="466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95251</xdr:colOff>
      <xdr:row>71</xdr:row>
      <xdr:rowOff>133350</xdr:rowOff>
    </xdr:from>
    <xdr:to>
      <xdr:col>3</xdr:col>
      <xdr:colOff>3295651</xdr:colOff>
      <xdr:row>74</xdr:row>
      <xdr:rowOff>133350</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33576" y="18773775"/>
          <a:ext cx="32004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142876</xdr:colOff>
      <xdr:row>218</xdr:row>
      <xdr:rowOff>104776</xdr:rowOff>
    </xdr:from>
    <xdr:to>
      <xdr:col>3</xdr:col>
      <xdr:colOff>4657726</xdr:colOff>
      <xdr:row>220</xdr:row>
      <xdr:rowOff>95251</xdr:rowOff>
    </xdr:to>
    <xdr:pic>
      <xdr:nvPicPr>
        <xdr:cNvPr id="4" name="Picture 3">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209801" y="55445026"/>
          <a:ext cx="45148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133350</xdr:colOff>
      <xdr:row>287</xdr:row>
      <xdr:rowOff>28575</xdr:rowOff>
    </xdr:from>
    <xdr:to>
      <xdr:col>3</xdr:col>
      <xdr:colOff>4524375</xdr:colOff>
      <xdr:row>287</xdr:row>
      <xdr:rowOff>2486025</xdr:rowOff>
    </xdr:to>
    <xdr:pic>
      <xdr:nvPicPr>
        <xdr:cNvPr id="5" name="Picture 18">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1675" y="75876150"/>
          <a:ext cx="439102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19051</xdr:colOff>
      <xdr:row>5</xdr:row>
      <xdr:rowOff>47625</xdr:rowOff>
    </xdr:from>
    <xdr:to>
      <xdr:col>3</xdr:col>
      <xdr:colOff>5524500</xdr:colOff>
      <xdr:row>7</xdr:row>
      <xdr:rowOff>1209675</xdr:rowOff>
    </xdr:to>
    <xdr:pic>
      <xdr:nvPicPr>
        <xdr:cNvPr id="6" name="Picture 21">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57376" y="1609725"/>
          <a:ext cx="5505449" cy="211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95251</xdr:colOff>
      <xdr:row>47</xdr:row>
      <xdr:rowOff>104776</xdr:rowOff>
    </xdr:from>
    <xdr:to>
      <xdr:col>3</xdr:col>
      <xdr:colOff>3028950</xdr:colOff>
      <xdr:row>48</xdr:row>
      <xdr:rowOff>95250</xdr:rowOff>
    </xdr:to>
    <xdr:pic>
      <xdr:nvPicPr>
        <xdr:cNvPr id="7" name="Picture 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44551"/>
        <a:stretch>
          <a:fillRect/>
        </a:stretch>
      </xdr:blipFill>
      <xdr:spPr bwMode="auto">
        <a:xfrm>
          <a:off x="1933576" y="10591801"/>
          <a:ext cx="2933699" cy="6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123826</xdr:colOff>
      <xdr:row>53</xdr:row>
      <xdr:rowOff>76200</xdr:rowOff>
    </xdr:from>
    <xdr:to>
      <xdr:col>3</xdr:col>
      <xdr:colOff>3305175</xdr:colOff>
      <xdr:row>55</xdr:row>
      <xdr:rowOff>85726</xdr:rowOff>
    </xdr:to>
    <xdr:pic>
      <xdr:nvPicPr>
        <xdr:cNvPr id="8" name="Picture 4">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62151" y="13077825"/>
          <a:ext cx="3181349" cy="8477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xdr:colOff>
      <xdr:row>59</xdr:row>
      <xdr:rowOff>9525</xdr:rowOff>
    </xdr:from>
    <xdr:to>
      <xdr:col>3</xdr:col>
      <xdr:colOff>5133975</xdr:colOff>
      <xdr:row>68</xdr:row>
      <xdr:rowOff>180975</xdr:rowOff>
    </xdr:to>
    <xdr:pic>
      <xdr:nvPicPr>
        <xdr:cNvPr id="9" name="Picture 5">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76425" y="15792450"/>
          <a:ext cx="50958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495300</xdr:colOff>
      <xdr:row>107</xdr:row>
      <xdr:rowOff>76200</xdr:rowOff>
    </xdr:from>
    <xdr:to>
      <xdr:col>3</xdr:col>
      <xdr:colOff>4371975</xdr:colOff>
      <xdr:row>107</xdr:row>
      <xdr:rowOff>314325</xdr:rowOff>
    </xdr:to>
    <xdr:pic>
      <xdr:nvPicPr>
        <xdr:cNvPr id="10" name="Picture 6">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r="5858" b="26056"/>
        <a:stretch>
          <a:fillRect/>
        </a:stretch>
      </xdr:blipFill>
      <xdr:spPr bwMode="auto">
        <a:xfrm>
          <a:off x="1952625" y="26908125"/>
          <a:ext cx="4486275" cy="23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109</xdr:row>
      <xdr:rowOff>95250</xdr:rowOff>
    </xdr:from>
    <xdr:to>
      <xdr:col>3</xdr:col>
      <xdr:colOff>1647825</xdr:colOff>
      <xdr:row>110</xdr:row>
      <xdr:rowOff>228600</xdr:rowOff>
    </xdr:to>
    <xdr:pic>
      <xdr:nvPicPr>
        <xdr:cNvPr id="11" name="Picture 7">
          <a:extLst>
            <a:ext uri="{FF2B5EF4-FFF2-40B4-BE49-F238E27FC236}">
              <a16:creationId xmlns:a16="http://schemas.microsoft.com/office/drawing/2014/main" id="{00000000-0008-0000-0D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866900" y="27517725"/>
          <a:ext cx="161925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104775</xdr:colOff>
      <xdr:row>116</xdr:row>
      <xdr:rowOff>76201</xdr:rowOff>
    </xdr:from>
    <xdr:to>
      <xdr:col>3</xdr:col>
      <xdr:colOff>5448300</xdr:colOff>
      <xdr:row>118</xdr:row>
      <xdr:rowOff>2228851</xdr:rowOff>
    </xdr:to>
    <xdr:pic>
      <xdr:nvPicPr>
        <xdr:cNvPr id="12" name="Picture 9">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43100" y="29517976"/>
          <a:ext cx="5343525" cy="2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38101</xdr:colOff>
      <xdr:row>120</xdr:row>
      <xdr:rowOff>47625</xdr:rowOff>
    </xdr:from>
    <xdr:to>
      <xdr:col>3</xdr:col>
      <xdr:colOff>5391151</xdr:colOff>
      <xdr:row>128</xdr:row>
      <xdr:rowOff>19050</xdr:rowOff>
    </xdr:to>
    <xdr:pic>
      <xdr:nvPicPr>
        <xdr:cNvPr id="13" name="Picture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876426" y="32794575"/>
          <a:ext cx="53530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38101</xdr:colOff>
      <xdr:row>87</xdr:row>
      <xdr:rowOff>466725</xdr:rowOff>
    </xdr:from>
    <xdr:to>
      <xdr:col>3</xdr:col>
      <xdr:colOff>5372101</xdr:colOff>
      <xdr:row>93</xdr:row>
      <xdr:rowOff>180975</xdr:rowOff>
    </xdr:to>
    <xdr:pic>
      <xdr:nvPicPr>
        <xdr:cNvPr id="14" name="Picture 13">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876426" y="22221825"/>
          <a:ext cx="5334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57150</xdr:colOff>
      <xdr:row>94</xdr:row>
      <xdr:rowOff>47625</xdr:rowOff>
    </xdr:from>
    <xdr:to>
      <xdr:col>3</xdr:col>
      <xdr:colOff>3400425</xdr:colOff>
      <xdr:row>97</xdr:row>
      <xdr:rowOff>38100</xdr:rowOff>
    </xdr:to>
    <xdr:pic>
      <xdr:nvPicPr>
        <xdr:cNvPr id="15" name="Picture 14">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r="53452"/>
        <a:stretch>
          <a:fillRect/>
        </a:stretch>
      </xdr:blipFill>
      <xdr:spPr bwMode="auto">
        <a:xfrm>
          <a:off x="2124075" y="23574375"/>
          <a:ext cx="3343275" cy="561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47626</xdr:colOff>
      <xdr:row>192</xdr:row>
      <xdr:rowOff>76200</xdr:rowOff>
    </xdr:from>
    <xdr:to>
      <xdr:col>3</xdr:col>
      <xdr:colOff>2200275</xdr:colOff>
      <xdr:row>192</xdr:row>
      <xdr:rowOff>447675</xdr:rowOff>
    </xdr:to>
    <xdr:pic>
      <xdr:nvPicPr>
        <xdr:cNvPr id="17" name="Picture 17">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885951" y="49806225"/>
          <a:ext cx="2152649"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28576</xdr:colOff>
      <xdr:row>137</xdr:row>
      <xdr:rowOff>133351</xdr:rowOff>
    </xdr:from>
    <xdr:to>
      <xdr:col>3</xdr:col>
      <xdr:colOff>3181350</xdr:colOff>
      <xdr:row>137</xdr:row>
      <xdr:rowOff>723901</xdr:rowOff>
    </xdr:to>
    <xdr:pic>
      <xdr:nvPicPr>
        <xdr:cNvPr id="18" name="Picture 19">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r="53452"/>
        <a:stretch>
          <a:fillRect/>
        </a:stretch>
      </xdr:blipFill>
      <xdr:spPr bwMode="auto">
        <a:xfrm>
          <a:off x="1866901" y="36566476"/>
          <a:ext cx="3152774"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38102</xdr:colOff>
      <xdr:row>20</xdr:row>
      <xdr:rowOff>66675</xdr:rowOff>
    </xdr:from>
    <xdr:to>
      <xdr:col>3</xdr:col>
      <xdr:colOff>4219576</xdr:colOff>
      <xdr:row>39</xdr:row>
      <xdr:rowOff>57150</xdr:rowOff>
    </xdr:to>
    <xdr:pic>
      <xdr:nvPicPr>
        <xdr:cNvPr id="19" name="Picture 2">
          <a:extLst>
            <a:ext uri="{FF2B5EF4-FFF2-40B4-BE49-F238E27FC236}">
              <a16:creationId xmlns:a16="http://schemas.microsoft.com/office/drawing/2014/main" id="{00000000-0008-0000-0D00-000013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876427" y="5391150"/>
          <a:ext cx="4181474"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47626</xdr:colOff>
      <xdr:row>39</xdr:row>
      <xdr:rowOff>180976</xdr:rowOff>
    </xdr:from>
    <xdr:to>
      <xdr:col>3</xdr:col>
      <xdr:colOff>3343275</xdr:colOff>
      <xdr:row>46</xdr:row>
      <xdr:rowOff>76200</xdr:rowOff>
    </xdr:to>
    <xdr:pic>
      <xdr:nvPicPr>
        <xdr:cNvPr id="20" name="Picture 8">
          <a:extLst>
            <a:ext uri="{FF2B5EF4-FFF2-40B4-BE49-F238E27FC236}">
              <a16:creationId xmlns:a16="http://schemas.microsoft.com/office/drawing/2014/main" id="{00000000-0008-0000-0D00-000014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885951" y="9124951"/>
          <a:ext cx="3295649" cy="1228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1419225</xdr:colOff>
      <xdr:row>10</xdr:row>
      <xdr:rowOff>57148</xdr:rowOff>
    </xdr:from>
    <xdr:to>
      <xdr:col>3</xdr:col>
      <xdr:colOff>3371850</xdr:colOff>
      <xdr:row>14</xdr:row>
      <xdr:rowOff>66675</xdr:rowOff>
    </xdr:to>
    <xdr:pic>
      <xdr:nvPicPr>
        <xdr:cNvPr id="21" name="Picture 20">
          <a:extLst>
            <a:ext uri="{FF2B5EF4-FFF2-40B4-BE49-F238E27FC236}">
              <a16:creationId xmlns:a16="http://schemas.microsoft.com/office/drawing/2014/main" id="{00000000-0008-0000-0D00-000015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257550" y="3371848"/>
          <a:ext cx="1952625" cy="819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133350</xdr:colOff>
      <xdr:row>101</xdr:row>
      <xdr:rowOff>76200</xdr:rowOff>
    </xdr:from>
    <xdr:to>
      <xdr:col>3</xdr:col>
      <xdr:colOff>5476875</xdr:colOff>
      <xdr:row>104</xdr:row>
      <xdr:rowOff>0</xdr:rowOff>
    </xdr:to>
    <xdr:pic>
      <xdr:nvPicPr>
        <xdr:cNvPr id="22" name="Picture 1">
          <a:extLst>
            <a:ext uri="{FF2B5EF4-FFF2-40B4-BE49-F238E27FC236}">
              <a16:creationId xmlns:a16="http://schemas.microsoft.com/office/drawing/2014/main" id="{00000000-0008-0000-0D00-00001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971675" y="25079325"/>
          <a:ext cx="5343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184</xdr:row>
      <xdr:rowOff>66675</xdr:rowOff>
    </xdr:from>
    <xdr:to>
      <xdr:col>3</xdr:col>
      <xdr:colOff>5524500</xdr:colOff>
      <xdr:row>189</xdr:row>
      <xdr:rowOff>120650</xdr:rowOff>
    </xdr:to>
    <xdr:pic>
      <xdr:nvPicPr>
        <xdr:cNvPr id="23" name="Picture 22">
          <a:extLst>
            <a:ext uri="{FF2B5EF4-FFF2-40B4-BE49-F238E27FC236}">
              <a16:creationId xmlns:a16="http://schemas.microsoft.com/office/drawing/2014/main" id="{00000000-0008-0000-0D00-000017000000}"/>
            </a:ext>
          </a:extLst>
        </xdr:cNvPr>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209800" y="45634275"/>
          <a:ext cx="5467350" cy="9683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alf2calculator@gmai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soilscienceaustralia.com.au/images/stories/qld/Publications/measuring_soil_cation_exchange_capacity_and_exchangeable_cations.pdf" TargetMode="External"/><Relationship Id="rId2" Type="http://schemas.openxmlformats.org/officeDocument/2006/relationships/hyperlink" Target="https://publications.qld.gov.au/dataset/salinity-management-handbook" TargetMode="External"/><Relationship Id="rId1" Type="http://schemas.openxmlformats.org/officeDocument/2006/relationships/hyperlink" Target="http://www.environment.gov.au/resource/australian-and-new-zealand-guidelines-fresh-and-marine-water-quality-volume-1-guidelines" TargetMode="External"/><Relationship Id="rId5" Type="http://schemas.openxmlformats.org/officeDocument/2006/relationships/drawing" Target="../drawings/drawing4.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V39"/>
  <sheetViews>
    <sheetView tabSelected="1" zoomScaleNormal="100" workbookViewId="0">
      <selection activeCell="R15" sqref="R15:U15"/>
    </sheetView>
  </sheetViews>
  <sheetFormatPr defaultColWidth="9.1796875" defaultRowHeight="14.5"/>
  <cols>
    <col min="1" max="1" width="4.1796875" style="157" customWidth="1"/>
    <col min="2" max="2" width="4.1796875" style="162" customWidth="1"/>
    <col min="3" max="3" width="9.1796875" style="161"/>
    <col min="4" max="6" width="9.1796875" style="59"/>
    <col min="7" max="7" width="4.81640625" style="59" customWidth="1"/>
    <col min="8" max="11" width="9.1796875" style="59"/>
    <col min="12" max="12" width="3.81640625" style="59" customWidth="1"/>
    <col min="13" max="16" width="9.1796875" style="59"/>
    <col min="17" max="17" width="4.453125" style="59" customWidth="1"/>
    <col min="18" max="20" width="9.1796875" style="59"/>
    <col min="21" max="21" width="14.453125" style="161" customWidth="1"/>
    <col min="22" max="22" width="4.1796875" style="161" customWidth="1"/>
    <col min="23" max="23" width="3.81640625" style="59" customWidth="1"/>
    <col min="24" max="16384" width="9.1796875" style="59"/>
  </cols>
  <sheetData>
    <row r="1" spans="2:22" s="157" customFormat="1" ht="15" thickBot="1">
      <c r="B1" s="162"/>
      <c r="C1" s="943" t="s">
        <v>900</v>
      </c>
      <c r="D1" s="943"/>
      <c r="E1" s="944">
        <f ca="1">NOW()</f>
        <v>44610.35418101852</v>
      </c>
      <c r="F1" s="944"/>
      <c r="G1" s="944"/>
      <c r="U1" s="162"/>
      <c r="V1" s="162"/>
    </row>
    <row r="2" spans="2:22" ht="32.5">
      <c r="B2" s="321"/>
      <c r="C2" s="948" t="s">
        <v>752</v>
      </c>
      <c r="D2" s="948"/>
      <c r="E2" s="948"/>
      <c r="F2" s="948"/>
      <c r="G2" s="948"/>
      <c r="H2" s="948"/>
      <c r="I2" s="948"/>
      <c r="J2" s="948"/>
      <c r="K2" s="948"/>
      <c r="L2" s="948"/>
      <c r="M2" s="948"/>
      <c r="N2" s="948"/>
      <c r="O2" s="948"/>
      <c r="P2" s="948"/>
      <c r="Q2" s="948"/>
      <c r="R2" s="948"/>
      <c r="S2" s="948"/>
      <c r="T2" s="948"/>
      <c r="U2" s="948"/>
      <c r="V2" s="166"/>
    </row>
    <row r="3" spans="2:22" ht="31.65" customHeight="1">
      <c r="B3" s="150"/>
      <c r="C3" s="949" t="s">
        <v>491</v>
      </c>
      <c r="D3" s="949"/>
      <c r="E3" s="949"/>
      <c r="F3" s="949"/>
      <c r="G3" s="949"/>
      <c r="H3" s="949"/>
      <c r="I3" s="949"/>
      <c r="J3" s="949"/>
      <c r="K3" s="949"/>
      <c r="L3" s="949"/>
      <c r="M3" s="949"/>
      <c r="N3" s="949"/>
      <c r="O3" s="949"/>
      <c r="P3" s="949"/>
      <c r="Q3" s="949"/>
      <c r="R3" s="949"/>
      <c r="S3" s="949"/>
      <c r="T3" s="949"/>
      <c r="U3" s="949"/>
      <c r="V3" s="168"/>
    </row>
    <row r="4" spans="2:22" ht="30.75" customHeight="1">
      <c r="B4" s="150"/>
      <c r="D4" s="957" t="s">
        <v>864</v>
      </c>
      <c r="E4" s="957"/>
      <c r="F4" s="957"/>
      <c r="G4" s="957"/>
      <c r="H4" s="957"/>
      <c r="I4" s="957"/>
      <c r="J4" s="957"/>
      <c r="K4" s="957"/>
      <c r="L4" s="957"/>
      <c r="M4" s="957"/>
      <c r="N4" s="957"/>
      <c r="O4" s="957"/>
      <c r="P4" s="957"/>
      <c r="Q4" s="957"/>
      <c r="R4" s="957"/>
      <c r="S4" s="957"/>
      <c r="T4" s="957"/>
      <c r="U4" s="265"/>
      <c r="V4" s="168"/>
    </row>
    <row r="5" spans="2:22">
      <c r="B5" s="150"/>
      <c r="C5" s="163" t="s">
        <v>645</v>
      </c>
      <c r="D5" s="161"/>
      <c r="E5" s="858" t="s">
        <v>1737</v>
      </c>
      <c r="F5" s="958" t="s">
        <v>1736</v>
      </c>
      <c r="G5" s="958"/>
      <c r="H5" s="958"/>
      <c r="I5" s="958"/>
      <c r="J5" s="958"/>
      <c r="K5" s="958"/>
      <c r="L5" s="958"/>
      <c r="M5" s="958"/>
      <c r="N5" s="161" t="s">
        <v>885</v>
      </c>
      <c r="O5" s="162"/>
      <c r="P5" s="161"/>
      <c r="Q5" s="928" t="s">
        <v>869</v>
      </c>
      <c r="R5" s="928"/>
      <c r="S5" s="928"/>
      <c r="T5" s="928"/>
      <c r="V5" s="168"/>
    </row>
    <row r="6" spans="2:22">
      <c r="B6" s="150"/>
      <c r="C6" s="318"/>
      <c r="D6" s="162"/>
      <c r="E6" s="162"/>
      <c r="F6" s="162"/>
      <c r="G6" s="162"/>
      <c r="H6" s="162"/>
      <c r="I6" s="162"/>
      <c r="J6" s="198"/>
      <c r="K6" s="162"/>
      <c r="L6" s="162"/>
      <c r="M6" s="162"/>
      <c r="N6" s="162"/>
      <c r="O6" s="162"/>
      <c r="P6" s="162"/>
      <c r="Q6" s="161"/>
      <c r="R6" s="161"/>
      <c r="S6" s="161"/>
      <c r="T6" s="161"/>
      <c r="V6" s="168"/>
    </row>
    <row r="7" spans="2:22">
      <c r="B7" s="150"/>
      <c r="C7" s="950" t="s">
        <v>490</v>
      </c>
      <c r="D7" s="951"/>
      <c r="E7" s="951"/>
      <c r="F7" s="952"/>
      <c r="G7" s="162"/>
      <c r="H7" s="959" t="s">
        <v>642</v>
      </c>
      <c r="I7" s="960"/>
      <c r="J7" s="960"/>
      <c r="K7" s="961"/>
      <c r="L7" s="162"/>
      <c r="M7" s="930" t="s">
        <v>643</v>
      </c>
      <c r="N7" s="931"/>
      <c r="O7" s="931"/>
      <c r="P7" s="932"/>
      <c r="Q7" s="161"/>
      <c r="R7" s="933" t="s">
        <v>644</v>
      </c>
      <c r="S7" s="934"/>
      <c r="T7" s="934"/>
      <c r="U7" s="935"/>
      <c r="V7" s="168"/>
    </row>
    <row r="8" spans="2:22" ht="15" customHeight="1">
      <c r="B8" s="150"/>
      <c r="C8" s="945" t="s">
        <v>905</v>
      </c>
      <c r="D8" s="946"/>
      <c r="E8" s="946"/>
      <c r="F8" s="947"/>
      <c r="G8" s="162"/>
      <c r="H8" s="881" t="s">
        <v>660</v>
      </c>
      <c r="I8" s="882"/>
      <c r="J8" s="882"/>
      <c r="K8" s="883"/>
      <c r="L8" s="162"/>
      <c r="M8" s="890" t="s">
        <v>863</v>
      </c>
      <c r="N8" s="891"/>
      <c r="O8" s="891"/>
      <c r="P8" s="892"/>
      <c r="Q8" s="161"/>
      <c r="R8" s="939" t="s">
        <v>744</v>
      </c>
      <c r="S8" s="940"/>
      <c r="T8" s="940"/>
      <c r="U8" s="941"/>
      <c r="V8" s="168"/>
    </row>
    <row r="9" spans="2:22">
      <c r="B9" s="150"/>
      <c r="C9" s="945"/>
      <c r="D9" s="946"/>
      <c r="E9" s="946"/>
      <c r="F9" s="947"/>
      <c r="G9" s="162"/>
      <c r="H9" s="881"/>
      <c r="I9" s="882"/>
      <c r="J9" s="882"/>
      <c r="K9" s="883"/>
      <c r="L9" s="162"/>
      <c r="M9" s="890"/>
      <c r="N9" s="891"/>
      <c r="O9" s="891"/>
      <c r="P9" s="892"/>
      <c r="Q9" s="161"/>
      <c r="R9" s="939"/>
      <c r="S9" s="940"/>
      <c r="T9" s="940"/>
      <c r="U9" s="941"/>
      <c r="V9" s="168"/>
    </row>
    <row r="10" spans="2:22">
      <c r="B10" s="150"/>
      <c r="C10" s="945"/>
      <c r="D10" s="946"/>
      <c r="E10" s="946"/>
      <c r="F10" s="947"/>
      <c r="G10" s="162"/>
      <c r="H10" s="881"/>
      <c r="I10" s="882"/>
      <c r="J10" s="882"/>
      <c r="K10" s="883"/>
      <c r="L10" s="162"/>
      <c r="M10" s="890"/>
      <c r="N10" s="891"/>
      <c r="O10" s="891"/>
      <c r="P10" s="892"/>
      <c r="Q10" s="161"/>
      <c r="R10" s="939"/>
      <c r="S10" s="940"/>
      <c r="T10" s="940"/>
      <c r="U10" s="941"/>
      <c r="V10" s="168"/>
    </row>
    <row r="11" spans="2:22">
      <c r="B11" s="150"/>
      <c r="C11" s="922" t="s">
        <v>861</v>
      </c>
      <c r="D11" s="923"/>
      <c r="E11" s="923"/>
      <c r="F11" s="924"/>
      <c r="G11" s="161"/>
      <c r="H11" s="884" t="s">
        <v>862</v>
      </c>
      <c r="I11" s="885"/>
      <c r="J11" s="885"/>
      <c r="K11" s="886"/>
      <c r="L11" s="161"/>
      <c r="M11" s="893" t="s">
        <v>745</v>
      </c>
      <c r="N11" s="894"/>
      <c r="O11" s="894"/>
      <c r="P11" s="895"/>
      <c r="Q11" s="161"/>
      <c r="R11" s="909" t="s">
        <v>1713</v>
      </c>
      <c r="S11" s="910"/>
      <c r="T11" s="910"/>
      <c r="U11" s="911"/>
      <c r="V11" s="168"/>
    </row>
    <row r="12" spans="2:22" ht="30" customHeight="1">
      <c r="B12" s="150"/>
      <c r="C12" s="925"/>
      <c r="D12" s="926"/>
      <c r="E12" s="926"/>
      <c r="F12" s="927"/>
      <c r="G12" s="161"/>
      <c r="H12" s="887"/>
      <c r="I12" s="888"/>
      <c r="J12" s="888"/>
      <c r="K12" s="889"/>
      <c r="L12" s="161"/>
      <c r="M12" s="896"/>
      <c r="N12" s="897"/>
      <c r="O12" s="897"/>
      <c r="P12" s="898"/>
      <c r="Q12" s="161"/>
      <c r="R12" s="912"/>
      <c r="S12" s="913"/>
      <c r="T12" s="913"/>
      <c r="U12" s="914"/>
      <c r="V12" s="168"/>
    </row>
    <row r="13" spans="2:22">
      <c r="B13" s="150"/>
      <c r="C13" s="199"/>
      <c r="D13" s="161"/>
      <c r="E13" s="161"/>
      <c r="F13" s="161"/>
      <c r="G13" s="161"/>
      <c r="H13" s="161"/>
      <c r="I13" s="161"/>
      <c r="J13" s="161"/>
      <c r="K13" s="161"/>
      <c r="L13" s="161"/>
      <c r="M13" s="161"/>
      <c r="N13" s="161"/>
      <c r="O13" s="161"/>
      <c r="P13" s="161"/>
      <c r="Q13" s="161"/>
      <c r="R13" s="161"/>
      <c r="S13" s="161"/>
      <c r="T13" s="161"/>
      <c r="V13" s="168"/>
    </row>
    <row r="14" spans="2:22">
      <c r="B14" s="150"/>
      <c r="C14" s="953" t="s">
        <v>651</v>
      </c>
      <c r="D14" s="954"/>
      <c r="E14" s="954"/>
      <c r="F14" s="955"/>
      <c r="G14" s="161"/>
      <c r="H14" s="899" t="s">
        <v>760</v>
      </c>
      <c r="I14" s="900"/>
      <c r="J14" s="900"/>
      <c r="K14" s="901"/>
      <c r="L14" s="161"/>
      <c r="M14" s="936" t="s">
        <v>652</v>
      </c>
      <c r="N14" s="937"/>
      <c r="O14" s="937"/>
      <c r="P14" s="938"/>
      <c r="Q14" s="161"/>
      <c r="R14" s="928" t="s">
        <v>647</v>
      </c>
      <c r="S14" s="928"/>
      <c r="T14" s="928"/>
      <c r="U14" s="928"/>
      <c r="V14" s="168"/>
    </row>
    <row r="15" spans="2:22" ht="15" customHeight="1">
      <c r="B15" s="150"/>
      <c r="C15" s="902" t="s">
        <v>1714</v>
      </c>
      <c r="D15" s="903"/>
      <c r="E15" s="903"/>
      <c r="F15" s="904"/>
      <c r="G15" s="161"/>
      <c r="H15" s="905" t="s">
        <v>866</v>
      </c>
      <c r="I15" s="906"/>
      <c r="J15" s="906"/>
      <c r="K15" s="907"/>
      <c r="L15" s="161"/>
      <c r="M15" s="257" t="s">
        <v>1712</v>
      </c>
      <c r="N15" s="258"/>
      <c r="O15" s="258"/>
      <c r="P15" s="259"/>
      <c r="Q15" s="161"/>
      <c r="R15" s="928" t="s">
        <v>663</v>
      </c>
      <c r="S15" s="928"/>
      <c r="T15" s="928"/>
      <c r="U15" s="928"/>
      <c r="V15" s="168"/>
    </row>
    <row r="16" spans="2:22">
      <c r="B16" s="150"/>
      <c r="C16" s="902"/>
      <c r="D16" s="903"/>
      <c r="E16" s="903"/>
      <c r="F16" s="904"/>
      <c r="G16" s="161"/>
      <c r="H16" s="905"/>
      <c r="I16" s="906"/>
      <c r="J16" s="906"/>
      <c r="K16" s="907"/>
      <c r="L16" s="161"/>
      <c r="M16" s="260" t="s">
        <v>475</v>
      </c>
      <c r="N16" s="258"/>
      <c r="O16" s="258"/>
      <c r="P16" s="259"/>
      <c r="Q16" s="161"/>
      <c r="R16" s="928" t="s">
        <v>1048</v>
      </c>
      <c r="S16" s="928"/>
      <c r="T16" s="928"/>
      <c r="U16" s="928"/>
      <c r="V16" s="168"/>
    </row>
    <row r="17" spans="1:22">
      <c r="B17" s="150"/>
      <c r="C17" s="902"/>
      <c r="D17" s="903"/>
      <c r="E17" s="903"/>
      <c r="F17" s="904"/>
      <c r="G17" s="161"/>
      <c r="H17" s="905"/>
      <c r="I17" s="906"/>
      <c r="J17" s="906"/>
      <c r="K17" s="907"/>
      <c r="L17" s="161"/>
      <c r="M17" s="260" t="s">
        <v>55</v>
      </c>
      <c r="N17" s="258"/>
      <c r="O17" s="258"/>
      <c r="P17" s="259"/>
      <c r="Q17" s="161"/>
      <c r="R17" s="929" t="s">
        <v>867</v>
      </c>
      <c r="S17" s="929"/>
      <c r="T17" s="929"/>
      <c r="U17" s="929"/>
      <c r="V17" s="168"/>
    </row>
    <row r="18" spans="1:22" ht="15" customHeight="1">
      <c r="B18" s="150"/>
      <c r="C18" s="915" t="s">
        <v>865</v>
      </c>
      <c r="D18" s="916"/>
      <c r="E18" s="916"/>
      <c r="F18" s="917"/>
      <c r="G18" s="161"/>
      <c r="H18" s="202" t="s">
        <v>746</v>
      </c>
      <c r="I18" s="98"/>
      <c r="J18" s="98"/>
      <c r="K18" s="99"/>
      <c r="L18" s="161"/>
      <c r="M18" s="260" t="s">
        <v>56</v>
      </c>
      <c r="N18" s="258"/>
      <c r="O18" s="258"/>
      <c r="P18" s="259"/>
      <c r="Q18" s="161"/>
      <c r="R18" s="929" t="s">
        <v>1715</v>
      </c>
      <c r="S18" s="929"/>
      <c r="T18" s="929"/>
      <c r="U18" s="929"/>
      <c r="V18" s="168"/>
    </row>
    <row r="19" spans="1:22">
      <c r="B19" s="150"/>
      <c r="C19" s="915"/>
      <c r="D19" s="916"/>
      <c r="E19" s="916"/>
      <c r="F19" s="917"/>
      <c r="G19" s="161"/>
      <c r="H19" s="256"/>
      <c r="I19" s="98"/>
      <c r="J19" s="98"/>
      <c r="K19" s="99"/>
      <c r="L19" s="161"/>
      <c r="M19" s="260" t="s">
        <v>661</v>
      </c>
      <c r="N19" s="258"/>
      <c r="O19" s="258"/>
      <c r="P19" s="259"/>
      <c r="Q19" s="161"/>
      <c r="R19" s="928" t="s">
        <v>57</v>
      </c>
      <c r="S19" s="928"/>
      <c r="T19" s="928"/>
      <c r="U19" s="928"/>
      <c r="V19" s="168"/>
    </row>
    <row r="20" spans="1:22" ht="13.65" customHeight="1">
      <c r="B20" s="150"/>
      <c r="C20" s="918"/>
      <c r="D20" s="919"/>
      <c r="E20" s="919"/>
      <c r="F20" s="920"/>
      <c r="G20" s="161"/>
      <c r="H20" s="100"/>
      <c r="I20" s="101"/>
      <c r="J20" s="101"/>
      <c r="K20" s="102"/>
      <c r="L20" s="161"/>
      <c r="M20" s="261"/>
      <c r="N20" s="262"/>
      <c r="O20" s="262"/>
      <c r="P20" s="263"/>
      <c r="Q20" s="161"/>
      <c r="R20" s="956"/>
      <c r="S20" s="956"/>
      <c r="T20" s="956"/>
      <c r="U20" s="956"/>
      <c r="V20" s="168"/>
    </row>
    <row r="21" spans="1:22">
      <c r="B21" s="150"/>
      <c r="D21" s="161"/>
      <c r="E21" s="161"/>
      <c r="F21" s="161"/>
      <c r="G21" s="161"/>
      <c r="H21" s="161"/>
      <c r="I21" s="161"/>
      <c r="J21" s="161"/>
      <c r="K21" s="161"/>
      <c r="L21" s="161"/>
      <c r="M21" s="161"/>
      <c r="N21" s="161"/>
      <c r="O21" s="161"/>
      <c r="P21" s="161"/>
      <c r="Q21" s="161"/>
      <c r="R21" s="161"/>
      <c r="S21" s="161"/>
      <c r="T21" s="161"/>
      <c r="V21" s="168"/>
    </row>
    <row r="22" spans="1:22">
      <c r="B22" s="150"/>
      <c r="C22" s="921" t="s">
        <v>1424</v>
      </c>
      <c r="D22" s="921"/>
      <c r="E22" s="921"/>
      <c r="F22" s="921"/>
      <c r="G22" s="921"/>
      <c r="H22" s="921"/>
      <c r="I22" s="921"/>
      <c r="J22" s="921"/>
      <c r="K22" s="921"/>
      <c r="L22" s="921"/>
      <c r="M22" s="921"/>
      <c r="N22" s="921"/>
      <c r="O22" s="921"/>
      <c r="P22" s="921"/>
      <c r="Q22" s="921"/>
      <c r="R22" s="921"/>
      <c r="S22" s="921"/>
      <c r="T22" s="921"/>
      <c r="U22" s="921"/>
      <c r="V22" s="168"/>
    </row>
    <row r="23" spans="1:22" s="160" customFormat="1">
      <c r="A23" s="157"/>
      <c r="B23" s="150"/>
      <c r="C23" s="880" t="s">
        <v>868</v>
      </c>
      <c r="D23" s="880"/>
      <c r="E23" s="880"/>
      <c r="F23" s="880"/>
      <c r="G23" s="880"/>
      <c r="H23" s="880"/>
      <c r="I23" s="880"/>
      <c r="J23" s="880"/>
      <c r="K23" s="880"/>
      <c r="L23" s="880"/>
      <c r="M23" s="928" t="s">
        <v>1048</v>
      </c>
      <c r="N23" s="928"/>
      <c r="O23" s="928"/>
      <c r="P23" s="928"/>
      <c r="Q23" s="255"/>
      <c r="R23" s="255"/>
      <c r="S23" s="255"/>
      <c r="T23" s="255"/>
      <c r="U23" s="255"/>
      <c r="V23" s="168"/>
    </row>
    <row r="24" spans="1:22" s="160" customFormat="1">
      <c r="A24" s="157"/>
      <c r="B24" s="150"/>
      <c r="C24" s="234"/>
      <c r="D24" s="234"/>
      <c r="E24" s="234"/>
      <c r="F24" s="234"/>
      <c r="G24" s="234"/>
      <c r="H24" s="234"/>
      <c r="I24" s="234"/>
      <c r="J24" s="234"/>
      <c r="K24" s="234"/>
      <c r="L24" s="234"/>
      <c r="M24" s="264"/>
      <c r="N24" s="264"/>
      <c r="O24" s="264"/>
      <c r="P24" s="264"/>
      <c r="Q24" s="255"/>
      <c r="R24" s="255"/>
      <c r="S24" s="255"/>
      <c r="T24" s="255"/>
      <c r="U24" s="255"/>
      <c r="V24" s="168"/>
    </row>
    <row r="25" spans="1:22" s="160" customFormat="1">
      <c r="A25" s="157"/>
      <c r="B25" s="150"/>
      <c r="C25" s="233" t="s">
        <v>884</v>
      </c>
      <c r="D25" s="234"/>
      <c r="E25" s="234"/>
      <c r="F25" s="234"/>
      <c r="G25" s="234"/>
      <c r="H25" s="234"/>
      <c r="I25" s="234"/>
      <c r="J25" s="234"/>
      <c r="K25" s="234"/>
      <c r="L25" s="234"/>
      <c r="M25" s="264"/>
      <c r="N25" s="264"/>
      <c r="O25" s="264"/>
      <c r="P25" s="264"/>
      <c r="Q25" s="255"/>
      <c r="R25" s="255"/>
      <c r="S25" s="255"/>
      <c r="T25" s="255"/>
      <c r="U25" s="255"/>
      <c r="V25" s="168"/>
    </row>
    <row r="26" spans="1:22">
      <c r="B26" s="150"/>
      <c r="D26" s="161"/>
      <c r="E26" s="161"/>
      <c r="F26" s="161"/>
      <c r="G26" s="161"/>
      <c r="H26" s="161"/>
      <c r="I26" s="161"/>
      <c r="J26" s="161"/>
      <c r="K26" s="161"/>
      <c r="L26" s="161"/>
      <c r="M26" s="161"/>
      <c r="N26" s="161"/>
      <c r="O26" s="161"/>
      <c r="P26" s="161"/>
      <c r="Q26" s="161"/>
      <c r="R26" s="161"/>
      <c r="S26" s="161"/>
      <c r="T26" s="161"/>
      <c r="V26" s="168"/>
    </row>
    <row r="27" spans="1:22" ht="20.25" customHeight="1">
      <c r="B27" s="150"/>
      <c r="C27" s="880" t="s">
        <v>899</v>
      </c>
      <c r="D27" s="880"/>
      <c r="E27" s="880"/>
      <c r="F27" s="880"/>
      <c r="G27" s="880"/>
      <c r="H27" s="880"/>
      <c r="I27" s="880"/>
      <c r="J27" s="880"/>
      <c r="K27" s="880"/>
      <c r="L27" s="880"/>
      <c r="M27" s="880"/>
      <c r="N27" s="880"/>
      <c r="O27" s="880"/>
      <c r="P27" s="880"/>
      <c r="Q27" s="880"/>
      <c r="R27" s="880"/>
      <c r="S27" s="880"/>
      <c r="T27" s="880"/>
      <c r="U27" s="880"/>
      <c r="V27" s="168"/>
    </row>
    <row r="28" spans="1:22" ht="51" customHeight="1">
      <c r="B28" s="150"/>
      <c r="C28" s="319" t="s">
        <v>664</v>
      </c>
      <c r="D28" s="908" t="s">
        <v>1709</v>
      </c>
      <c r="E28" s="908"/>
      <c r="F28" s="908"/>
      <c r="G28" s="908"/>
      <c r="H28" s="908"/>
      <c r="I28" s="908"/>
      <c r="J28" s="908"/>
      <c r="K28" s="908"/>
      <c r="L28" s="908"/>
      <c r="M28" s="908"/>
      <c r="N28" s="908"/>
      <c r="O28" s="908"/>
      <c r="P28" s="908"/>
      <c r="Q28" s="908"/>
      <c r="R28" s="908"/>
      <c r="S28" s="908"/>
      <c r="T28" s="908"/>
      <c r="U28" s="908"/>
      <c r="V28" s="168"/>
    </row>
    <row r="29" spans="1:22" ht="18" customHeight="1">
      <c r="B29" s="150"/>
      <c r="C29" s="319" t="s">
        <v>664</v>
      </c>
      <c r="D29" s="105" t="s">
        <v>898</v>
      </c>
      <c r="E29" s="161"/>
      <c r="F29" s="161"/>
      <c r="G29" s="161"/>
      <c r="H29" s="161"/>
      <c r="I29" s="161"/>
      <c r="J29" s="161"/>
      <c r="K29" s="161"/>
      <c r="L29" s="161"/>
      <c r="M29" s="161"/>
      <c r="N29" s="161"/>
      <c r="O29" s="161"/>
      <c r="P29" s="161"/>
      <c r="Q29" s="161"/>
      <c r="R29" s="161"/>
      <c r="S29" s="161"/>
      <c r="T29" s="161"/>
      <c r="V29" s="168"/>
    </row>
    <row r="30" spans="1:22" s="160" customFormat="1" ht="18" customHeight="1">
      <c r="A30" s="157"/>
      <c r="B30" s="150"/>
      <c r="C30" s="319" t="s">
        <v>664</v>
      </c>
      <c r="D30" s="105" t="s">
        <v>877</v>
      </c>
      <c r="E30" s="161"/>
      <c r="F30" s="161"/>
      <c r="G30" s="161"/>
      <c r="H30" s="161"/>
      <c r="I30" s="161"/>
      <c r="J30" s="161"/>
      <c r="K30" s="161"/>
      <c r="L30" s="161"/>
      <c r="M30" s="161"/>
      <c r="N30" s="161"/>
      <c r="O30" s="161"/>
      <c r="P30" s="161"/>
      <c r="Q30" s="161"/>
      <c r="R30" s="161"/>
      <c r="S30" s="161"/>
      <c r="T30" s="161"/>
      <c r="U30" s="161"/>
      <c r="V30" s="168"/>
    </row>
    <row r="31" spans="1:22" ht="37" customHeight="1">
      <c r="B31" s="150"/>
      <c r="C31" s="880" t="s">
        <v>1408</v>
      </c>
      <c r="D31" s="880"/>
      <c r="E31" s="880"/>
      <c r="F31" s="880"/>
      <c r="G31" s="880"/>
      <c r="H31" s="880"/>
      <c r="I31" s="880"/>
      <c r="J31" s="880"/>
      <c r="K31" s="880"/>
      <c r="L31" s="880"/>
      <c r="M31" s="880"/>
      <c r="N31" s="880"/>
      <c r="O31" s="880"/>
      <c r="P31" s="880"/>
      <c r="Q31" s="880"/>
      <c r="R31" s="880"/>
      <c r="S31" s="880"/>
      <c r="T31" s="880"/>
      <c r="U31" s="880"/>
      <c r="V31" s="168"/>
    </row>
    <row r="32" spans="1:22" ht="17.25" customHeight="1">
      <c r="B32" s="150"/>
      <c r="C32" s="319" t="s">
        <v>664</v>
      </c>
      <c r="D32" s="105" t="s">
        <v>878</v>
      </c>
      <c r="E32" s="161"/>
      <c r="F32" s="161"/>
      <c r="G32" s="161"/>
      <c r="H32" s="161"/>
      <c r="I32" s="161"/>
      <c r="J32" s="161"/>
      <c r="K32" s="161"/>
      <c r="L32" s="161"/>
      <c r="M32" s="161"/>
      <c r="N32" s="161"/>
      <c r="O32" s="161"/>
      <c r="P32" s="161"/>
      <c r="Q32" s="161"/>
      <c r="R32" s="161"/>
      <c r="S32" s="161"/>
      <c r="T32" s="161"/>
      <c r="V32" s="168"/>
    </row>
    <row r="33" spans="1:22" ht="17.25" customHeight="1">
      <c r="B33" s="150"/>
      <c r="C33" s="319" t="s">
        <v>664</v>
      </c>
      <c r="D33" s="105" t="s">
        <v>879</v>
      </c>
      <c r="E33" s="161"/>
      <c r="F33" s="161"/>
      <c r="G33" s="161"/>
      <c r="H33" s="161"/>
      <c r="I33" s="161"/>
      <c r="J33" s="161"/>
      <c r="K33" s="161"/>
      <c r="L33" s="161"/>
      <c r="M33" s="161"/>
      <c r="N33" s="161"/>
      <c r="O33" s="161"/>
      <c r="P33" s="161"/>
      <c r="Q33" s="161"/>
      <c r="R33" s="161"/>
      <c r="S33" s="161"/>
      <c r="T33" s="161"/>
      <c r="V33" s="168"/>
    </row>
    <row r="34" spans="1:22" ht="17.25" customHeight="1">
      <c r="B34" s="150"/>
      <c r="C34" s="319" t="s">
        <v>664</v>
      </c>
      <c r="D34" s="105" t="s">
        <v>880</v>
      </c>
      <c r="E34" s="161"/>
      <c r="F34" s="161"/>
      <c r="G34" s="161"/>
      <c r="H34" s="161"/>
      <c r="I34" s="161"/>
      <c r="J34" s="161"/>
      <c r="K34" s="161"/>
      <c r="L34" s="161"/>
      <c r="M34" s="161"/>
      <c r="N34" s="161"/>
      <c r="O34" s="161"/>
      <c r="P34" s="161"/>
      <c r="Q34" s="161"/>
      <c r="R34" s="161"/>
      <c r="S34" s="161"/>
      <c r="T34" s="161"/>
      <c r="V34" s="168"/>
    </row>
    <row r="35" spans="1:22" s="160" customFormat="1" ht="17.25" customHeight="1">
      <c r="A35" s="157"/>
      <c r="B35" s="150"/>
      <c r="C35" s="319" t="s">
        <v>664</v>
      </c>
      <c r="D35" s="221" t="s">
        <v>881</v>
      </c>
      <c r="E35" s="161"/>
      <c r="F35" s="161"/>
      <c r="G35" s="161"/>
      <c r="H35" s="161"/>
      <c r="I35" s="161"/>
      <c r="J35" s="161"/>
      <c r="K35" s="161"/>
      <c r="L35" s="161"/>
      <c r="M35" s="161"/>
      <c r="N35" s="161"/>
      <c r="O35" s="161"/>
      <c r="P35" s="161"/>
      <c r="Q35" s="161"/>
      <c r="R35" s="161"/>
      <c r="S35" s="161"/>
      <c r="T35" s="161"/>
      <c r="U35" s="161"/>
      <c r="V35" s="168"/>
    </row>
    <row r="36" spans="1:22" ht="17.25" customHeight="1">
      <c r="B36" s="150"/>
      <c r="C36" s="319" t="s">
        <v>664</v>
      </c>
      <c r="D36" s="105" t="s">
        <v>882</v>
      </c>
      <c r="E36" s="161"/>
      <c r="F36" s="161"/>
      <c r="G36" s="161"/>
      <c r="H36" s="161"/>
      <c r="I36" s="161"/>
      <c r="J36" s="161"/>
      <c r="K36" s="161"/>
      <c r="L36" s="161"/>
      <c r="M36" s="161"/>
      <c r="N36" s="161"/>
      <c r="O36" s="161"/>
      <c r="P36" s="161"/>
      <c r="Q36" s="161"/>
      <c r="R36" s="161"/>
      <c r="S36" s="161"/>
      <c r="T36" s="161"/>
      <c r="V36" s="168"/>
    </row>
    <row r="37" spans="1:22" ht="17.25" customHeight="1">
      <c r="B37" s="150"/>
      <c r="C37" s="319" t="s">
        <v>664</v>
      </c>
      <c r="D37" s="105" t="s">
        <v>883</v>
      </c>
      <c r="E37" s="161"/>
      <c r="F37" s="161"/>
      <c r="G37" s="161"/>
      <c r="H37" s="161"/>
      <c r="I37" s="161"/>
      <c r="J37" s="161"/>
      <c r="K37" s="161"/>
      <c r="L37" s="161"/>
      <c r="M37" s="161"/>
      <c r="N37" s="161"/>
      <c r="O37" s="161"/>
      <c r="P37" s="161"/>
      <c r="Q37" s="161"/>
      <c r="R37" s="161"/>
      <c r="S37" s="161"/>
      <c r="T37" s="161"/>
      <c r="V37" s="168"/>
    </row>
    <row r="38" spans="1:22" s="160" customFormat="1" ht="17.25" customHeight="1">
      <c r="A38" s="157"/>
      <c r="B38" s="150"/>
      <c r="C38" s="942" t="s">
        <v>1668</v>
      </c>
      <c r="D38" s="942"/>
      <c r="E38" s="942"/>
      <c r="F38" s="942"/>
      <c r="G38" s="942"/>
      <c r="H38" s="942"/>
      <c r="I38" s="942"/>
      <c r="J38" s="942"/>
      <c r="K38" s="942"/>
      <c r="L38" s="942"/>
      <c r="M38" s="942"/>
      <c r="N38" s="942"/>
      <c r="O38" s="942"/>
      <c r="P38" s="942"/>
      <c r="Q38" s="942"/>
      <c r="R38" s="942"/>
      <c r="S38" s="942"/>
      <c r="T38" s="942"/>
      <c r="U38" s="161"/>
      <c r="V38" s="168"/>
    </row>
    <row r="39" spans="1:22" ht="21.5" thickBot="1">
      <c r="B39" s="154"/>
      <c r="C39" s="320"/>
      <c r="D39" s="170"/>
      <c r="E39" s="170"/>
      <c r="F39" s="170"/>
      <c r="G39" s="170"/>
      <c r="H39" s="170"/>
      <c r="I39" s="170"/>
      <c r="J39" s="170"/>
      <c r="K39" s="170"/>
      <c r="L39" s="170"/>
      <c r="M39" s="170"/>
      <c r="N39" s="170"/>
      <c r="O39" s="170"/>
      <c r="P39" s="170"/>
      <c r="Q39" s="170"/>
      <c r="R39" s="170"/>
      <c r="S39" s="170"/>
      <c r="T39" s="170"/>
      <c r="U39" s="170"/>
      <c r="V39" s="171"/>
    </row>
  </sheetData>
  <sheetProtection algorithmName="SHA-512" hashValue="JygFwuXA1GQ1FylhmBMtdPYZiwERxW0fxgJZce8//xYc780gC1yx6L+NsfUjqSfzBo81BuKdBHVqOwopgPKMLg==" saltValue="RjU26juqoLunQODmYM9vKw==" spinCount="100000" sheet="1" objects="1" scenarios="1"/>
  <mergeCells count="39">
    <mergeCell ref="C38:T38"/>
    <mergeCell ref="C1:D1"/>
    <mergeCell ref="E1:G1"/>
    <mergeCell ref="C8:F10"/>
    <mergeCell ref="R18:U18"/>
    <mergeCell ref="R19:U19"/>
    <mergeCell ref="C2:U2"/>
    <mergeCell ref="C3:U3"/>
    <mergeCell ref="C7:F7"/>
    <mergeCell ref="C14:F14"/>
    <mergeCell ref="R20:U20"/>
    <mergeCell ref="M23:P23"/>
    <mergeCell ref="D4:T4"/>
    <mergeCell ref="Q5:T5"/>
    <mergeCell ref="F5:M5"/>
    <mergeCell ref="H7:K7"/>
    <mergeCell ref="R17:U17"/>
    <mergeCell ref="M7:P7"/>
    <mergeCell ref="R7:U7"/>
    <mergeCell ref="M14:P14"/>
    <mergeCell ref="R14:U14"/>
    <mergeCell ref="R15:U15"/>
    <mergeCell ref="R8:U10"/>
    <mergeCell ref="C31:U31"/>
    <mergeCell ref="H8:K10"/>
    <mergeCell ref="H11:K12"/>
    <mergeCell ref="M8:P10"/>
    <mergeCell ref="M11:P12"/>
    <mergeCell ref="C23:L23"/>
    <mergeCell ref="H14:K14"/>
    <mergeCell ref="C15:F17"/>
    <mergeCell ref="H15:K17"/>
    <mergeCell ref="D28:U28"/>
    <mergeCell ref="R11:U12"/>
    <mergeCell ref="C18:F20"/>
    <mergeCell ref="C22:U22"/>
    <mergeCell ref="C27:U27"/>
    <mergeCell ref="C11:F12"/>
    <mergeCell ref="R16:U16"/>
  </mergeCells>
  <hyperlinks>
    <hyperlink ref="C7" location="'Quick Calculator'!A1" display="Quick Assessment" xr:uid="{00000000-0004-0000-0000-000000000000}"/>
    <hyperlink ref="H7" location="'Predictive Calculator'!A1" display="Predictive Calculator" xr:uid="{00000000-0004-0000-0000-000001000000}"/>
    <hyperlink ref="M7" location="'Soil Water Parameters'!B2" display="Soil Water Parameters" xr:uid="{00000000-0004-0000-0000-000002000000}"/>
    <hyperlink ref="R7" location="'Plant Salt Tolerance'!B2" display="Plant Salt Tolerance" xr:uid="{00000000-0004-0000-0000-000003000000}"/>
    <hyperlink ref="H14" location="'Mixing Waters'!A1" display="Mixing Irrigation Water Sources" xr:uid="{00000000-0004-0000-0000-000004000000}"/>
    <hyperlink ref="R14" location="Instructions!A1" display="Instructions" xr:uid="{00000000-0004-0000-0000-000005000000}"/>
    <hyperlink ref="R19" location="'Background &amp; Theory'!A1" display="Background and Theory" xr:uid="{00000000-0004-0000-0000-000006000000}"/>
    <hyperlink ref="R15" location="'Abbreviations and Glossary'!A1" display="Abbreviations and Glossary" xr:uid="{00000000-0004-0000-0000-000007000000}"/>
    <hyperlink ref="R16" location="'Limitations and Disclaimer'!A1" display="Limitations and Disclaimer and Copyright" xr:uid="{00000000-0004-0000-0000-000008000000}"/>
    <hyperlink ref="M23" location="'Limitations and Disclaimer'!A1" display="Limitations and Disclaimer and Copyright" xr:uid="{00000000-0004-0000-0000-000009000000}"/>
    <hyperlink ref="Q5" r:id="rId1" xr:uid="{00000000-0004-0000-0000-00000A000000}"/>
    <hyperlink ref="R16:U16" location="'Limitations and Disclaimer'!A1" display="Limitations, Disclaimer and Copyright" xr:uid="{00000000-0004-0000-0000-00000B000000}"/>
    <hyperlink ref="M23:P23" location="'Limitations and Disclaimer'!A1" display="Limitations, Disclaimer and Copyright" xr:uid="{00000000-0004-0000-0000-00000C000000}"/>
  </hyperlinks>
  <pageMargins left="0.23622047244094488" right="0.23622047244094488" top="0.23622047244094488" bottom="0.23622047244094488" header="0.31496062992125984" footer="0.31496062992125984"/>
  <pageSetup paperSize="9"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146"/>
  <sheetViews>
    <sheetView workbookViewId="0">
      <pane ySplit="6" topLeftCell="A55" activePane="bottomLeft" state="frozen"/>
      <selection pane="bottomLeft" activeCell="D69" sqref="D69"/>
    </sheetView>
  </sheetViews>
  <sheetFormatPr defaultRowHeight="14.5"/>
  <cols>
    <col min="1" max="1" width="3.81640625" style="162" customWidth="1"/>
    <col min="2" max="2" width="35.81640625" style="31" customWidth="1"/>
    <col min="3" max="3" width="27.1796875" style="31" bestFit="1" customWidth="1"/>
    <col min="4" max="4" width="14.81640625" style="42" customWidth="1"/>
    <col min="5" max="5" width="13.1796875" style="31" customWidth="1"/>
    <col min="6" max="6" width="15.81640625" style="31" customWidth="1"/>
    <col min="7" max="9" width="9.1796875" style="31"/>
    <col min="10" max="10" width="23.1796875" style="31" bestFit="1" customWidth="1"/>
    <col min="12" max="12" width="0" hidden="1" customWidth="1"/>
  </cols>
  <sheetData>
    <row r="1" spans="1:12" s="162" customFormat="1" ht="15" thickBot="1">
      <c r="D1" s="35"/>
    </row>
    <row r="2" spans="1:12" s="55" customFormat="1" ht="26">
      <c r="A2" s="162"/>
      <c r="B2" s="364" t="s">
        <v>499</v>
      </c>
      <c r="C2" s="386"/>
      <c r="D2" s="386"/>
      <c r="E2" s="386"/>
      <c r="F2" s="386"/>
      <c r="G2" s="197" t="s">
        <v>502</v>
      </c>
      <c r="H2" s="386"/>
      <c r="I2" s="386"/>
      <c r="J2" s="387"/>
    </row>
    <row r="3" spans="1:12" s="55" customFormat="1" ht="26">
      <c r="A3" s="162"/>
      <c r="B3" s="167" t="s">
        <v>500</v>
      </c>
      <c r="C3" s="193"/>
      <c r="D3" s="193"/>
      <c r="E3" s="193"/>
      <c r="F3" s="193"/>
      <c r="G3" s="193"/>
      <c r="H3" s="193"/>
      <c r="I3" s="193"/>
      <c r="J3" s="388"/>
    </row>
    <row r="4" spans="1:12" s="31" customFormat="1">
      <c r="A4" s="162"/>
      <c r="B4" s="169"/>
      <c r="C4" s="62"/>
      <c r="D4" s="62"/>
      <c r="E4" s="341"/>
      <c r="F4" s="341"/>
      <c r="G4" s="1264"/>
      <c r="H4" s="1264"/>
      <c r="I4" s="1264"/>
      <c r="J4" s="342"/>
    </row>
    <row r="5" spans="1:12" ht="34.5">
      <c r="B5" s="383" t="s">
        <v>163</v>
      </c>
      <c r="C5" s="382" t="s">
        <v>164</v>
      </c>
      <c r="D5" s="382" t="s">
        <v>435</v>
      </c>
      <c r="E5" s="345" t="s">
        <v>165</v>
      </c>
      <c r="F5" s="345" t="s">
        <v>166</v>
      </c>
      <c r="G5" s="1265" t="s">
        <v>167</v>
      </c>
      <c r="H5" s="1265"/>
      <c r="I5" s="1265"/>
      <c r="J5" s="347" t="s">
        <v>129</v>
      </c>
      <c r="L5" s="40" t="s">
        <v>436</v>
      </c>
    </row>
    <row r="6" spans="1:12">
      <c r="B6" s="389"/>
      <c r="C6" s="62"/>
      <c r="D6" s="62"/>
      <c r="E6" s="62"/>
      <c r="F6" s="62"/>
      <c r="G6" s="393" t="s">
        <v>168</v>
      </c>
      <c r="H6" s="393" t="s">
        <v>169</v>
      </c>
      <c r="I6" s="393" t="s">
        <v>170</v>
      </c>
      <c r="J6" s="390"/>
    </row>
    <row r="7" spans="1:12" s="31" customFormat="1">
      <c r="A7" s="162"/>
      <c r="B7" s="376" t="s">
        <v>186</v>
      </c>
      <c r="C7" s="374" t="s">
        <v>187</v>
      </c>
      <c r="D7" s="373" t="s">
        <v>171</v>
      </c>
      <c r="E7" s="375">
        <v>0.8</v>
      </c>
      <c r="F7" s="375">
        <v>7.9</v>
      </c>
      <c r="G7" s="375">
        <v>2.1</v>
      </c>
      <c r="H7" s="375">
        <v>4</v>
      </c>
      <c r="I7" s="375">
        <v>7.1</v>
      </c>
      <c r="J7" s="377" t="str">
        <f t="shared" ref="J7:J38" si="0">IF(ISNUMBER(G7),IF(AND(G7&gt;=0,G7&lt;0.65),"sensitive",IF(AND(G7&gt;=0.65,G7&lt;1.3),"moderately sensitive",IF(AND(G7&gt;=1.3,G7&lt;2.9),"moderately tolerant",IF(AND(G7&gt;=2.9,G7&lt;5.2),"tolerant",IF(AND(G7&gt;=5.2,G7&lt;8.1),"very tolerant",IF(G7&gt;=8.1,"very highly tolerant")))))),IF(AND(ISNUMBER(E7),(OR(ISTEXT(G7),ISBLANK(G7)))),IF(AND(E7&gt;=0,E7&lt;0.65),"sensitive",IF(AND(E7&gt;=0.65,E7&lt;1.3),"moderately sensitive",IF(AND(E7&gt;=1.3,E7&lt;2.9),"moderately tolerant",IF(AND(E7&gt;=2.9,E7&lt;5.2),"tolerant",IF(AND(E7&gt;=5.2,E7&lt;8.1),"very tolerant",IF(E7&gt;=8.1,"very highly tolerant",""))))))))</f>
        <v>moderately tolerant</v>
      </c>
      <c r="L7" s="31">
        <f t="shared" ref="L7:L29" si="1">IF(ISNUMBER(G7),G7,IF(ISNUMBER(E7),E7,""))</f>
        <v>2.1</v>
      </c>
    </row>
    <row r="8" spans="1:12" s="31" customFormat="1">
      <c r="A8" s="162"/>
      <c r="B8" s="376" t="s">
        <v>432</v>
      </c>
      <c r="C8" s="374" t="s">
        <v>433</v>
      </c>
      <c r="D8" s="373" t="s">
        <v>396</v>
      </c>
      <c r="E8" s="375">
        <v>0.9</v>
      </c>
      <c r="F8" s="375">
        <v>9</v>
      </c>
      <c r="G8" s="375">
        <v>2</v>
      </c>
      <c r="H8" s="375">
        <v>3.7</v>
      </c>
      <c r="I8" s="375">
        <v>6.5</v>
      </c>
      <c r="J8" s="377" t="str">
        <f t="shared" si="0"/>
        <v>moderately tolerant</v>
      </c>
      <c r="L8" s="31">
        <f t="shared" si="1"/>
        <v>2</v>
      </c>
    </row>
    <row r="9" spans="1:12" s="31" customFormat="1">
      <c r="A9" s="162"/>
      <c r="B9" s="376" t="s">
        <v>229</v>
      </c>
      <c r="C9" s="374" t="s">
        <v>230</v>
      </c>
      <c r="D9" s="373" t="s">
        <v>206</v>
      </c>
      <c r="E9" s="375">
        <v>1</v>
      </c>
      <c r="F9" s="375"/>
      <c r="G9" s="375"/>
      <c r="H9" s="375"/>
      <c r="I9" s="375"/>
      <c r="J9" s="377" t="str">
        <f t="shared" si="0"/>
        <v>moderately sensitive</v>
      </c>
      <c r="L9" s="31">
        <f t="shared" si="1"/>
        <v>1</v>
      </c>
    </row>
    <row r="10" spans="1:12" s="31" customFormat="1">
      <c r="A10" s="162"/>
      <c r="B10" s="376" t="s">
        <v>239</v>
      </c>
      <c r="C10" s="374" t="s">
        <v>240</v>
      </c>
      <c r="D10" s="373" t="s">
        <v>206</v>
      </c>
      <c r="E10" s="375">
        <v>1</v>
      </c>
      <c r="F10" s="375"/>
      <c r="G10" s="375"/>
      <c r="H10" s="375"/>
      <c r="I10" s="375"/>
      <c r="J10" s="377" t="str">
        <f t="shared" si="0"/>
        <v>moderately sensitive</v>
      </c>
      <c r="L10" s="31">
        <f t="shared" si="1"/>
        <v>1</v>
      </c>
    </row>
    <row r="11" spans="1:12" s="31" customFormat="1">
      <c r="A11" s="162"/>
      <c r="B11" s="376" t="s">
        <v>242</v>
      </c>
      <c r="C11" s="374" t="s">
        <v>243</v>
      </c>
      <c r="D11" s="373" t="s">
        <v>206</v>
      </c>
      <c r="E11" s="375">
        <v>1</v>
      </c>
      <c r="F11" s="375"/>
      <c r="G11" s="375"/>
      <c r="H11" s="375"/>
      <c r="I11" s="375"/>
      <c r="J11" s="377" t="str">
        <f t="shared" si="0"/>
        <v>moderately sensitive</v>
      </c>
      <c r="L11" s="31">
        <f t="shared" si="1"/>
        <v>1</v>
      </c>
    </row>
    <row r="12" spans="1:12" s="31" customFormat="1">
      <c r="A12" s="162"/>
      <c r="B12" s="376" t="s">
        <v>246</v>
      </c>
      <c r="C12" s="374" t="s">
        <v>247</v>
      </c>
      <c r="D12" s="373" t="s">
        <v>206</v>
      </c>
      <c r="E12" s="375">
        <v>1</v>
      </c>
      <c r="F12" s="375"/>
      <c r="G12" s="375"/>
      <c r="H12" s="375"/>
      <c r="I12" s="375"/>
      <c r="J12" s="377" t="str">
        <f t="shared" si="0"/>
        <v>moderately sensitive</v>
      </c>
      <c r="L12" s="31">
        <f t="shared" si="1"/>
        <v>1</v>
      </c>
    </row>
    <row r="13" spans="1:12" s="31" customFormat="1">
      <c r="A13" s="162"/>
      <c r="B13" s="376" t="s">
        <v>265</v>
      </c>
      <c r="C13" s="374" t="s">
        <v>266</v>
      </c>
      <c r="D13" s="373" t="s">
        <v>262</v>
      </c>
      <c r="E13" s="375">
        <v>1</v>
      </c>
      <c r="F13" s="375"/>
      <c r="G13" s="375"/>
      <c r="H13" s="375"/>
      <c r="I13" s="375"/>
      <c r="J13" s="377" t="str">
        <f t="shared" si="0"/>
        <v>moderately sensitive</v>
      </c>
      <c r="L13" s="31">
        <f t="shared" si="1"/>
        <v>1</v>
      </c>
    </row>
    <row r="14" spans="1:12" s="31" customFormat="1">
      <c r="A14" s="162"/>
      <c r="B14" s="376" t="s">
        <v>275</v>
      </c>
      <c r="C14" s="374" t="s">
        <v>276</v>
      </c>
      <c r="D14" s="373" t="s">
        <v>262</v>
      </c>
      <c r="E14" s="375">
        <v>1</v>
      </c>
      <c r="F14" s="375"/>
      <c r="G14" s="375"/>
      <c r="H14" s="375"/>
      <c r="I14" s="375"/>
      <c r="J14" s="377" t="str">
        <f t="shared" si="0"/>
        <v>moderately sensitive</v>
      </c>
      <c r="L14" s="31">
        <f t="shared" si="1"/>
        <v>1</v>
      </c>
    </row>
    <row r="15" spans="1:12" s="31" customFormat="1">
      <c r="A15" s="162"/>
      <c r="B15" s="376" t="s">
        <v>281</v>
      </c>
      <c r="C15" s="374" t="s">
        <v>282</v>
      </c>
      <c r="D15" s="373" t="s">
        <v>262</v>
      </c>
      <c r="E15" s="375">
        <v>1</v>
      </c>
      <c r="F15" s="375"/>
      <c r="G15" s="375"/>
      <c r="H15" s="375"/>
      <c r="I15" s="375"/>
      <c r="J15" s="377" t="str">
        <f t="shared" si="0"/>
        <v>moderately sensitive</v>
      </c>
      <c r="L15" s="31">
        <f t="shared" si="1"/>
        <v>1</v>
      </c>
    </row>
    <row r="16" spans="1:12" s="31" customFormat="1">
      <c r="A16" s="162"/>
      <c r="B16" s="376" t="s">
        <v>283</v>
      </c>
      <c r="C16" s="374" t="s">
        <v>284</v>
      </c>
      <c r="D16" s="373" t="s">
        <v>262</v>
      </c>
      <c r="E16" s="375">
        <v>1</v>
      </c>
      <c r="F16" s="375"/>
      <c r="G16" s="375"/>
      <c r="H16" s="375"/>
      <c r="I16" s="375"/>
      <c r="J16" s="377" t="str">
        <f t="shared" si="0"/>
        <v>moderately sensitive</v>
      </c>
      <c r="L16" s="31">
        <f t="shared" si="1"/>
        <v>1</v>
      </c>
    </row>
    <row r="17" spans="1:12" s="31" customFormat="1">
      <c r="A17" s="162"/>
      <c r="B17" s="376" t="s">
        <v>291</v>
      </c>
      <c r="C17" s="374" t="s">
        <v>292</v>
      </c>
      <c r="D17" s="373" t="s">
        <v>262</v>
      </c>
      <c r="E17" s="375">
        <v>1</v>
      </c>
      <c r="F17" s="375"/>
      <c r="G17" s="375"/>
      <c r="H17" s="375"/>
      <c r="I17" s="375"/>
      <c r="J17" s="377" t="str">
        <f t="shared" si="0"/>
        <v>moderately sensitive</v>
      </c>
      <c r="L17" s="31">
        <f t="shared" si="1"/>
        <v>1</v>
      </c>
    </row>
    <row r="18" spans="1:12" s="31" customFormat="1">
      <c r="A18" s="162"/>
      <c r="B18" s="376" t="s">
        <v>297</v>
      </c>
      <c r="C18" s="374" t="s">
        <v>298</v>
      </c>
      <c r="D18" s="373" t="s">
        <v>262</v>
      </c>
      <c r="E18" s="375">
        <v>1</v>
      </c>
      <c r="F18" s="375"/>
      <c r="G18" s="375"/>
      <c r="H18" s="375"/>
      <c r="I18" s="375"/>
      <c r="J18" s="377" t="str">
        <f t="shared" si="0"/>
        <v>moderately sensitive</v>
      </c>
      <c r="L18" s="31">
        <f t="shared" si="1"/>
        <v>1</v>
      </c>
    </row>
    <row r="19" spans="1:12" s="31" customFormat="1">
      <c r="A19" s="162"/>
      <c r="B19" s="376" t="s">
        <v>250</v>
      </c>
      <c r="C19" s="374" t="s">
        <v>251</v>
      </c>
      <c r="D19" s="373" t="s">
        <v>206</v>
      </c>
      <c r="E19" s="375">
        <v>1</v>
      </c>
      <c r="F19" s="375">
        <v>33.299999999999997</v>
      </c>
      <c r="G19" s="375">
        <v>1.3</v>
      </c>
      <c r="H19" s="375">
        <v>1.8</v>
      </c>
      <c r="I19" s="375">
        <v>2.5</v>
      </c>
      <c r="J19" s="377" t="str">
        <f t="shared" si="0"/>
        <v>moderately tolerant</v>
      </c>
      <c r="L19" s="31">
        <f t="shared" si="1"/>
        <v>1.3</v>
      </c>
    </row>
    <row r="20" spans="1:12" s="31" customFormat="1">
      <c r="A20" s="162"/>
      <c r="B20" s="376" t="s">
        <v>334</v>
      </c>
      <c r="C20" s="374" t="s">
        <v>335</v>
      </c>
      <c r="D20" s="373" t="s">
        <v>305</v>
      </c>
      <c r="E20" s="375">
        <v>1</v>
      </c>
      <c r="F20" s="375">
        <v>22.7</v>
      </c>
      <c r="G20" s="375">
        <v>1.4</v>
      </c>
      <c r="H20" s="375">
        <v>2.1</v>
      </c>
      <c r="I20" s="375">
        <v>3.2</v>
      </c>
      <c r="J20" s="377" t="str">
        <f t="shared" si="0"/>
        <v>moderately tolerant</v>
      </c>
      <c r="L20" s="31">
        <f t="shared" si="1"/>
        <v>1.4</v>
      </c>
    </row>
    <row r="21" spans="1:12" s="31" customFormat="1">
      <c r="A21" s="162"/>
      <c r="B21" s="376" t="s">
        <v>397</v>
      </c>
      <c r="C21" s="374" t="s">
        <v>398</v>
      </c>
      <c r="D21" s="373" t="s">
        <v>396</v>
      </c>
      <c r="E21" s="375">
        <v>1</v>
      </c>
      <c r="F21" s="375">
        <v>18.899999999999999</v>
      </c>
      <c r="G21" s="375">
        <v>1.5</v>
      </c>
      <c r="H21" s="375">
        <v>2.2999999999999998</v>
      </c>
      <c r="I21" s="375">
        <v>3.6</v>
      </c>
      <c r="J21" s="377" t="str">
        <f t="shared" si="0"/>
        <v>moderately tolerant</v>
      </c>
      <c r="L21" s="31">
        <f t="shared" si="1"/>
        <v>1.5</v>
      </c>
    </row>
    <row r="22" spans="1:12" s="31" customFormat="1">
      <c r="A22" s="162"/>
      <c r="B22" s="376" t="s">
        <v>209</v>
      </c>
      <c r="C22" s="374" t="s">
        <v>210</v>
      </c>
      <c r="D22" s="373" t="s">
        <v>206</v>
      </c>
      <c r="E22" s="375">
        <v>1</v>
      </c>
      <c r="F22" s="375">
        <v>18</v>
      </c>
      <c r="G22" s="375">
        <v>1.6</v>
      </c>
      <c r="H22" s="375">
        <v>2.4</v>
      </c>
      <c r="I22" s="375">
        <v>3.8</v>
      </c>
      <c r="J22" s="377" t="str">
        <f t="shared" si="0"/>
        <v>moderately tolerant</v>
      </c>
      <c r="L22" s="31">
        <f t="shared" si="1"/>
        <v>1.6</v>
      </c>
    </row>
    <row r="23" spans="1:12" s="31" customFormat="1">
      <c r="A23" s="162"/>
      <c r="B23" s="376" t="s">
        <v>338</v>
      </c>
      <c r="C23" s="374" t="s">
        <v>339</v>
      </c>
      <c r="D23" s="373" t="s">
        <v>305</v>
      </c>
      <c r="E23" s="375">
        <v>1</v>
      </c>
      <c r="F23" s="375">
        <v>15.6</v>
      </c>
      <c r="G23" s="375">
        <v>1.6</v>
      </c>
      <c r="H23" s="375">
        <v>2.6</v>
      </c>
      <c r="I23" s="375">
        <v>4.2</v>
      </c>
      <c r="J23" s="377" t="str">
        <f t="shared" si="0"/>
        <v>moderately tolerant</v>
      </c>
      <c r="L23" s="31">
        <f t="shared" si="1"/>
        <v>1.6</v>
      </c>
    </row>
    <row r="24" spans="1:12" s="31" customFormat="1">
      <c r="A24" s="162"/>
      <c r="B24" s="376" t="s">
        <v>405</v>
      </c>
      <c r="C24" s="374" t="s">
        <v>406</v>
      </c>
      <c r="D24" s="373" t="s">
        <v>396</v>
      </c>
      <c r="E24" s="375">
        <v>1</v>
      </c>
      <c r="F24" s="375">
        <v>14.1</v>
      </c>
      <c r="G24" s="375">
        <v>1.7</v>
      </c>
      <c r="H24" s="375">
        <v>2.8</v>
      </c>
      <c r="I24" s="375">
        <v>4.5</v>
      </c>
      <c r="J24" s="377" t="str">
        <f t="shared" si="0"/>
        <v>moderately tolerant</v>
      </c>
      <c r="L24" s="31">
        <f t="shared" si="1"/>
        <v>1.7</v>
      </c>
    </row>
    <row r="25" spans="1:12" s="31" customFormat="1">
      <c r="A25" s="162"/>
      <c r="B25" s="376" t="s">
        <v>350</v>
      </c>
      <c r="C25" s="374" t="s">
        <v>351</v>
      </c>
      <c r="D25" s="373" t="s">
        <v>305</v>
      </c>
      <c r="E25" s="375">
        <v>1</v>
      </c>
      <c r="F25" s="375">
        <v>12.2</v>
      </c>
      <c r="G25" s="375">
        <v>1.8</v>
      </c>
      <c r="H25" s="375">
        <v>3.1</v>
      </c>
      <c r="I25" s="375">
        <v>5.0999999999999996</v>
      </c>
      <c r="J25" s="377" t="str">
        <f t="shared" si="0"/>
        <v>moderately tolerant</v>
      </c>
      <c r="L25" s="31">
        <f t="shared" si="1"/>
        <v>1.8</v>
      </c>
    </row>
    <row r="26" spans="1:12" s="31" customFormat="1">
      <c r="A26" s="162"/>
      <c r="B26" s="376" t="s">
        <v>324</v>
      </c>
      <c r="C26" s="374" t="s">
        <v>325</v>
      </c>
      <c r="D26" s="373" t="s">
        <v>305</v>
      </c>
      <c r="E26" s="375">
        <v>1</v>
      </c>
      <c r="F26" s="375">
        <v>9.6</v>
      </c>
      <c r="G26" s="375">
        <v>2</v>
      </c>
      <c r="H26" s="375">
        <v>3.6</v>
      </c>
      <c r="I26" s="375">
        <v>6.2</v>
      </c>
      <c r="J26" s="377" t="str">
        <f t="shared" si="0"/>
        <v>moderately tolerant</v>
      </c>
      <c r="L26" s="31">
        <f t="shared" si="1"/>
        <v>2</v>
      </c>
    </row>
    <row r="27" spans="1:12" s="31" customFormat="1">
      <c r="A27" s="162"/>
      <c r="B27" s="376" t="s">
        <v>320</v>
      </c>
      <c r="C27" s="374" t="s">
        <v>321</v>
      </c>
      <c r="D27" s="373" t="s">
        <v>305</v>
      </c>
      <c r="E27" s="375">
        <v>1</v>
      </c>
      <c r="F27" s="375">
        <v>8.9</v>
      </c>
      <c r="G27" s="375">
        <v>2.1</v>
      </c>
      <c r="H27" s="375">
        <v>3.8</v>
      </c>
      <c r="I27" s="375">
        <v>6.6</v>
      </c>
      <c r="J27" s="377" t="str">
        <f t="shared" si="0"/>
        <v>moderately tolerant</v>
      </c>
      <c r="L27" s="31">
        <f t="shared" si="1"/>
        <v>2.1</v>
      </c>
    </row>
    <row r="28" spans="1:12" s="31" customFormat="1">
      <c r="A28" s="162"/>
      <c r="B28" s="376" t="s">
        <v>310</v>
      </c>
      <c r="C28" s="374" t="s">
        <v>309</v>
      </c>
      <c r="D28" s="373" t="s">
        <v>305</v>
      </c>
      <c r="E28" s="375">
        <v>1</v>
      </c>
      <c r="F28" s="375">
        <v>7.7</v>
      </c>
      <c r="G28" s="375">
        <v>2.2999999999999998</v>
      </c>
      <c r="H28" s="375">
        <v>4.2</v>
      </c>
      <c r="I28" s="375">
        <v>7.5</v>
      </c>
      <c r="J28" s="377" t="str">
        <f t="shared" si="0"/>
        <v>moderately tolerant</v>
      </c>
      <c r="L28" s="31">
        <f t="shared" si="1"/>
        <v>2.2999999999999998</v>
      </c>
    </row>
    <row r="29" spans="1:12" s="31" customFormat="1">
      <c r="A29" s="162"/>
      <c r="B29" s="376" t="s">
        <v>336</v>
      </c>
      <c r="C29" s="374" t="s">
        <v>337</v>
      </c>
      <c r="D29" s="373" t="s">
        <v>305</v>
      </c>
      <c r="E29" s="375">
        <v>1</v>
      </c>
      <c r="F29" s="375">
        <v>7.8</v>
      </c>
      <c r="G29" s="375">
        <v>2.2999999999999998</v>
      </c>
      <c r="H29" s="375">
        <v>4.2</v>
      </c>
      <c r="I29" s="375">
        <v>7.4</v>
      </c>
      <c r="J29" s="377" t="str">
        <f t="shared" si="0"/>
        <v>moderately tolerant</v>
      </c>
      <c r="L29" s="31">
        <f t="shared" si="1"/>
        <v>2.2999999999999998</v>
      </c>
    </row>
    <row r="30" spans="1:12" s="31" customFormat="1">
      <c r="A30" s="162"/>
      <c r="B30" s="376" t="s">
        <v>1086</v>
      </c>
      <c r="C30" s="374" t="s">
        <v>199</v>
      </c>
      <c r="D30" s="373" t="s">
        <v>171</v>
      </c>
      <c r="E30" s="375">
        <v>1</v>
      </c>
      <c r="F30" s="375">
        <v>6.7</v>
      </c>
      <c r="G30" s="375"/>
      <c r="H30" s="375"/>
      <c r="I30" s="375"/>
      <c r="J30" s="377" t="str">
        <f t="shared" si="0"/>
        <v>moderately sensitive</v>
      </c>
    </row>
    <row r="31" spans="1:12" s="31" customFormat="1">
      <c r="A31" s="162"/>
      <c r="B31" s="376" t="s">
        <v>1087</v>
      </c>
      <c r="C31" s="374" t="s">
        <v>199</v>
      </c>
      <c r="D31" s="373" t="s">
        <v>171</v>
      </c>
      <c r="E31" s="375">
        <v>1</v>
      </c>
      <c r="F31" s="375">
        <v>10.6</v>
      </c>
      <c r="G31" s="375"/>
      <c r="H31" s="375"/>
      <c r="I31" s="375"/>
      <c r="J31" s="377" t="str">
        <f t="shared" si="0"/>
        <v>moderately sensitive</v>
      </c>
    </row>
    <row r="32" spans="1:12" s="31" customFormat="1">
      <c r="A32" s="162"/>
      <c r="B32" s="376" t="s">
        <v>412</v>
      </c>
      <c r="C32" s="374" t="s">
        <v>413</v>
      </c>
      <c r="D32" s="373" t="s">
        <v>396</v>
      </c>
      <c r="E32" s="375">
        <v>1.1000000000000001</v>
      </c>
      <c r="F32" s="375">
        <v>6.9</v>
      </c>
      <c r="G32" s="375">
        <v>2.5</v>
      </c>
      <c r="H32" s="375">
        <v>4.7</v>
      </c>
      <c r="I32" s="375">
        <v>8.3000000000000007</v>
      </c>
      <c r="J32" s="377" t="str">
        <f t="shared" si="0"/>
        <v>moderately tolerant</v>
      </c>
      <c r="L32" s="31">
        <f t="shared" ref="L32:L63" si="2">IF(ISNUMBER(G32),G32,IF(ISNUMBER(E32),E32,""))</f>
        <v>2.5</v>
      </c>
    </row>
    <row r="33" spans="1:12" s="31" customFormat="1">
      <c r="A33" s="162"/>
      <c r="B33" s="376" t="s">
        <v>227</v>
      </c>
      <c r="C33" s="374" t="s">
        <v>228</v>
      </c>
      <c r="D33" s="373" t="s">
        <v>206</v>
      </c>
      <c r="E33" s="375">
        <v>1.2</v>
      </c>
      <c r="F33" s="375"/>
      <c r="G33" s="375"/>
      <c r="H33" s="375"/>
      <c r="I33" s="375"/>
      <c r="J33" s="377" t="str">
        <f t="shared" si="0"/>
        <v>moderately sensitive</v>
      </c>
      <c r="L33" s="31">
        <f t="shared" si="2"/>
        <v>1.2</v>
      </c>
    </row>
    <row r="34" spans="1:12" s="31" customFormat="1">
      <c r="A34" s="162"/>
      <c r="B34" s="376" t="s">
        <v>256</v>
      </c>
      <c r="C34" s="374" t="s">
        <v>257</v>
      </c>
      <c r="D34" s="373" t="s">
        <v>252</v>
      </c>
      <c r="E34" s="375">
        <v>1.2</v>
      </c>
      <c r="F34" s="375">
        <v>16.100000000000001</v>
      </c>
      <c r="G34" s="375">
        <v>1.8</v>
      </c>
      <c r="H34" s="375">
        <v>2.8</v>
      </c>
      <c r="I34" s="375">
        <v>4.3</v>
      </c>
      <c r="J34" s="377" t="str">
        <f t="shared" si="0"/>
        <v>moderately tolerant</v>
      </c>
      <c r="L34" s="31">
        <f t="shared" si="2"/>
        <v>1.8</v>
      </c>
    </row>
    <row r="35" spans="1:12" s="31" customFormat="1">
      <c r="A35" s="162"/>
      <c r="B35" s="376" t="s">
        <v>213</v>
      </c>
      <c r="C35" s="374" t="s">
        <v>214</v>
      </c>
      <c r="D35" s="373" t="s">
        <v>206</v>
      </c>
      <c r="E35" s="375">
        <v>1.3</v>
      </c>
      <c r="F35" s="375">
        <v>21</v>
      </c>
      <c r="G35" s="375">
        <v>1.8</v>
      </c>
      <c r="H35" s="375">
        <v>2.5</v>
      </c>
      <c r="I35" s="375">
        <v>3.7</v>
      </c>
      <c r="J35" s="377" t="str">
        <f t="shared" si="0"/>
        <v>moderately tolerant</v>
      </c>
      <c r="L35" s="31">
        <f t="shared" si="2"/>
        <v>1.8</v>
      </c>
    </row>
    <row r="36" spans="1:12" s="31" customFormat="1">
      <c r="A36" s="162"/>
      <c r="B36" s="376" t="s">
        <v>331</v>
      </c>
      <c r="C36" s="374" t="s">
        <v>177</v>
      </c>
      <c r="D36" s="373" t="s">
        <v>305</v>
      </c>
      <c r="E36" s="375">
        <v>1.3</v>
      </c>
      <c r="F36" s="375">
        <v>14.3</v>
      </c>
      <c r="G36" s="375">
        <v>2</v>
      </c>
      <c r="H36" s="375">
        <v>3</v>
      </c>
      <c r="I36" s="375">
        <v>4.8</v>
      </c>
      <c r="J36" s="377" t="str">
        <f t="shared" si="0"/>
        <v>moderately tolerant</v>
      </c>
      <c r="L36" s="31">
        <f t="shared" si="2"/>
        <v>2</v>
      </c>
    </row>
    <row r="37" spans="1:12" s="31" customFormat="1">
      <c r="A37" s="162"/>
      <c r="B37" s="376" t="s">
        <v>416</v>
      </c>
      <c r="C37" s="374" t="s">
        <v>417</v>
      </c>
      <c r="D37" s="373" t="s">
        <v>396</v>
      </c>
      <c r="E37" s="375">
        <v>1.3</v>
      </c>
      <c r="F37" s="375">
        <v>13</v>
      </c>
      <c r="G37" s="375">
        <v>2.1</v>
      </c>
      <c r="H37" s="375">
        <v>3.2</v>
      </c>
      <c r="I37" s="375">
        <v>5.0999999999999996</v>
      </c>
      <c r="J37" s="377" t="str">
        <f t="shared" si="0"/>
        <v>moderately tolerant</v>
      </c>
      <c r="L37" s="31">
        <f t="shared" si="2"/>
        <v>2.1</v>
      </c>
    </row>
    <row r="38" spans="1:12" s="31" customFormat="1">
      <c r="A38" s="162"/>
      <c r="B38" s="376" t="s">
        <v>301</v>
      </c>
      <c r="C38" s="374" t="s">
        <v>302</v>
      </c>
      <c r="D38" s="373" t="s">
        <v>262</v>
      </c>
      <c r="E38" s="375">
        <v>1.4</v>
      </c>
      <c r="F38" s="375">
        <v>13.2</v>
      </c>
      <c r="G38" s="375">
        <v>2.2000000000000002</v>
      </c>
      <c r="H38" s="375">
        <v>3.3</v>
      </c>
      <c r="I38" s="375">
        <v>5.2</v>
      </c>
      <c r="J38" s="377" t="str">
        <f t="shared" si="0"/>
        <v>moderately tolerant</v>
      </c>
      <c r="L38" s="31">
        <f t="shared" si="2"/>
        <v>2.2000000000000002</v>
      </c>
    </row>
    <row r="39" spans="1:12" s="31" customFormat="1">
      <c r="A39" s="162"/>
      <c r="B39" s="376" t="s">
        <v>269</v>
      </c>
      <c r="C39" s="374" t="s">
        <v>270</v>
      </c>
      <c r="D39" s="373" t="s">
        <v>262</v>
      </c>
      <c r="E39" s="375">
        <v>1.5</v>
      </c>
      <c r="F39" s="375"/>
      <c r="G39" s="375"/>
      <c r="H39" s="375"/>
      <c r="I39" s="375"/>
      <c r="J39" s="377" t="str">
        <f t="shared" ref="J39:J70" si="3">IF(ISNUMBER(G39),IF(AND(G39&gt;=0,G39&lt;0.65),"sensitive",IF(AND(G39&gt;=0.65,G39&lt;1.3),"moderately sensitive",IF(AND(G39&gt;=1.3,G39&lt;2.9),"moderately tolerant",IF(AND(G39&gt;=2.9,G39&lt;5.2),"tolerant",IF(AND(G39&gt;=5.2,G39&lt;8.1),"very tolerant",IF(G39&gt;=8.1,"very highly tolerant")))))),IF(AND(ISNUMBER(E39),(OR(ISTEXT(G39),ISBLANK(G39)))),IF(AND(E39&gt;=0,E39&lt;0.65),"sensitive",IF(AND(E39&gt;=0.65,E39&lt;1.3),"moderately sensitive",IF(AND(E39&gt;=1.3,E39&lt;2.9),"moderately tolerant",IF(AND(E39&gt;=2.9,E39&lt;5.2),"tolerant",IF(AND(E39&gt;=5.2,E39&lt;8.1),"very tolerant",IF(E39&gt;=8.1,"very highly tolerant",""))))))))</f>
        <v>moderately tolerant</v>
      </c>
      <c r="L39" s="31">
        <f t="shared" si="2"/>
        <v>1.5</v>
      </c>
    </row>
    <row r="40" spans="1:12" s="31" customFormat="1">
      <c r="A40" s="162"/>
      <c r="B40" s="376" t="s">
        <v>215</v>
      </c>
      <c r="C40" s="374" t="s">
        <v>216</v>
      </c>
      <c r="D40" s="373" t="s">
        <v>206</v>
      </c>
      <c r="E40" s="375">
        <v>1.5</v>
      </c>
      <c r="F40" s="375">
        <v>22.2</v>
      </c>
      <c r="G40" s="375">
        <v>2</v>
      </c>
      <c r="H40" s="375">
        <v>2.6</v>
      </c>
      <c r="I40" s="375">
        <v>3.8</v>
      </c>
      <c r="J40" s="377" t="str">
        <f t="shared" si="3"/>
        <v>moderately tolerant</v>
      </c>
      <c r="L40" s="31">
        <f t="shared" si="2"/>
        <v>2</v>
      </c>
    </row>
    <row r="41" spans="1:12" s="31" customFormat="1">
      <c r="A41" s="162"/>
      <c r="B41" s="376" t="s">
        <v>217</v>
      </c>
      <c r="C41" s="374" t="s">
        <v>218</v>
      </c>
      <c r="D41" s="373" t="s">
        <v>206</v>
      </c>
      <c r="E41" s="375">
        <v>1.5</v>
      </c>
      <c r="F41" s="375">
        <v>22.2</v>
      </c>
      <c r="G41" s="375">
        <v>2</v>
      </c>
      <c r="H41" s="375">
        <v>2.6</v>
      </c>
      <c r="I41" s="375">
        <v>3.8</v>
      </c>
      <c r="J41" s="377" t="str">
        <f t="shared" si="3"/>
        <v>moderately tolerant</v>
      </c>
      <c r="L41" s="31">
        <f t="shared" si="2"/>
        <v>2</v>
      </c>
    </row>
    <row r="42" spans="1:12" s="31" customFormat="1">
      <c r="A42" s="162"/>
      <c r="B42" s="376" t="s">
        <v>241</v>
      </c>
      <c r="C42" s="374" t="s">
        <v>243</v>
      </c>
      <c r="D42" s="373" t="s">
        <v>206</v>
      </c>
      <c r="E42" s="375">
        <v>1.5</v>
      </c>
      <c r="F42" s="375">
        <v>18.2</v>
      </c>
      <c r="G42" s="375">
        <v>2</v>
      </c>
      <c r="H42" s="375">
        <v>2.9</v>
      </c>
      <c r="I42" s="375">
        <v>4.2</v>
      </c>
      <c r="J42" s="377" t="str">
        <f t="shared" si="3"/>
        <v>moderately tolerant</v>
      </c>
      <c r="L42" s="31">
        <f t="shared" si="2"/>
        <v>2</v>
      </c>
    </row>
    <row r="43" spans="1:12" s="31" customFormat="1">
      <c r="A43" s="162"/>
      <c r="B43" s="376" t="s">
        <v>207</v>
      </c>
      <c r="C43" s="374" t="s">
        <v>208</v>
      </c>
      <c r="D43" s="373" t="s">
        <v>206</v>
      </c>
      <c r="E43" s="375">
        <v>1.5</v>
      </c>
      <c r="F43" s="375">
        <v>18</v>
      </c>
      <c r="G43" s="375">
        <v>2.1</v>
      </c>
      <c r="H43" s="375">
        <v>2.9</v>
      </c>
      <c r="I43" s="375">
        <v>4.3</v>
      </c>
      <c r="J43" s="377" t="str">
        <f t="shared" si="3"/>
        <v>moderately tolerant</v>
      </c>
      <c r="L43" s="31">
        <f t="shared" si="2"/>
        <v>2.1</v>
      </c>
    </row>
    <row r="44" spans="1:12" s="31" customFormat="1">
      <c r="A44" s="162"/>
      <c r="B44" s="376" t="s">
        <v>420</v>
      </c>
      <c r="C44" s="374" t="s">
        <v>421</v>
      </c>
      <c r="D44" s="373" t="s">
        <v>396</v>
      </c>
      <c r="E44" s="375">
        <v>1.5</v>
      </c>
      <c r="F44" s="375">
        <v>14.1</v>
      </c>
      <c r="G44" s="375">
        <v>2.2000000000000002</v>
      </c>
      <c r="H44" s="375">
        <v>3.3</v>
      </c>
      <c r="I44" s="375">
        <v>5</v>
      </c>
      <c r="J44" s="377" t="str">
        <f t="shared" si="3"/>
        <v>moderately tolerant</v>
      </c>
      <c r="L44" s="31">
        <f t="shared" si="2"/>
        <v>2.2000000000000002</v>
      </c>
    </row>
    <row r="45" spans="1:12" s="31" customFormat="1">
      <c r="A45" s="162"/>
      <c r="B45" s="376" t="s">
        <v>303</v>
      </c>
      <c r="C45" s="374" t="s">
        <v>304</v>
      </c>
      <c r="D45" s="373" t="s">
        <v>262</v>
      </c>
      <c r="E45" s="375">
        <v>1.5</v>
      </c>
      <c r="F45" s="375">
        <v>13.3</v>
      </c>
      <c r="G45" s="375">
        <v>2.2999999999999998</v>
      </c>
      <c r="H45" s="375">
        <v>3.4</v>
      </c>
      <c r="I45" s="375">
        <v>5.3</v>
      </c>
      <c r="J45" s="377" t="str">
        <f t="shared" si="3"/>
        <v>moderately tolerant</v>
      </c>
      <c r="L45" s="31">
        <f t="shared" si="2"/>
        <v>2.2999999999999998</v>
      </c>
    </row>
    <row r="46" spans="1:12" s="31" customFormat="1">
      <c r="A46" s="162"/>
      <c r="B46" s="376" t="s">
        <v>315</v>
      </c>
      <c r="C46" s="374" t="s">
        <v>316</v>
      </c>
      <c r="D46" s="373" t="s">
        <v>305</v>
      </c>
      <c r="E46" s="375">
        <v>1.5</v>
      </c>
      <c r="F46" s="375">
        <v>12</v>
      </c>
      <c r="G46" s="375">
        <v>2.2999999999999998</v>
      </c>
      <c r="H46" s="375">
        <v>3.6</v>
      </c>
      <c r="I46" s="375">
        <v>5.7</v>
      </c>
      <c r="J46" s="377" t="str">
        <f t="shared" si="3"/>
        <v>moderately tolerant</v>
      </c>
      <c r="L46" s="31">
        <f t="shared" si="2"/>
        <v>2.2999999999999998</v>
      </c>
    </row>
    <row r="47" spans="1:12" s="31" customFormat="1">
      <c r="A47" s="162"/>
      <c r="B47" s="376" t="s">
        <v>326</v>
      </c>
      <c r="C47" s="374" t="s">
        <v>327</v>
      </c>
      <c r="D47" s="373" t="s">
        <v>305</v>
      </c>
      <c r="E47" s="375">
        <v>1.5</v>
      </c>
      <c r="F47" s="375">
        <v>12.1</v>
      </c>
      <c r="G47" s="375">
        <v>2.2999999999999998</v>
      </c>
      <c r="H47" s="375">
        <v>3.6</v>
      </c>
      <c r="I47" s="375">
        <v>5.6</v>
      </c>
      <c r="J47" s="377" t="str">
        <f t="shared" si="3"/>
        <v>moderately tolerant</v>
      </c>
      <c r="L47" s="31">
        <f t="shared" si="2"/>
        <v>2.2999999999999998</v>
      </c>
    </row>
    <row r="48" spans="1:12" s="31" customFormat="1">
      <c r="A48" s="162"/>
      <c r="B48" s="376" t="s">
        <v>376</v>
      </c>
      <c r="C48" s="374" t="s">
        <v>377</v>
      </c>
      <c r="D48" s="373" t="s">
        <v>305</v>
      </c>
      <c r="E48" s="375">
        <v>1.5</v>
      </c>
      <c r="F48" s="375">
        <v>12.9</v>
      </c>
      <c r="G48" s="375">
        <v>2.2999999999999998</v>
      </c>
      <c r="H48" s="375">
        <v>3.4</v>
      </c>
      <c r="I48" s="375">
        <v>5.4</v>
      </c>
      <c r="J48" s="377" t="str">
        <f t="shared" si="3"/>
        <v>moderately tolerant</v>
      </c>
      <c r="L48" s="31">
        <f t="shared" si="2"/>
        <v>2.2999999999999998</v>
      </c>
    </row>
    <row r="49" spans="1:12" s="31" customFormat="1">
      <c r="A49" s="162"/>
      <c r="B49" s="391" t="s">
        <v>260</v>
      </c>
      <c r="C49" s="385" t="s">
        <v>261</v>
      </c>
      <c r="D49" s="373" t="s">
        <v>252</v>
      </c>
      <c r="E49" s="375">
        <v>1.5</v>
      </c>
      <c r="F49" s="375">
        <v>11.1</v>
      </c>
      <c r="G49" s="375">
        <v>2.4</v>
      </c>
      <c r="H49" s="375">
        <v>3.8</v>
      </c>
      <c r="I49" s="375">
        <v>6</v>
      </c>
      <c r="J49" s="377" t="str">
        <f t="shared" si="3"/>
        <v>moderately tolerant</v>
      </c>
      <c r="L49" s="31">
        <f t="shared" si="2"/>
        <v>2.4</v>
      </c>
    </row>
    <row r="50" spans="1:12" s="31" customFormat="1">
      <c r="A50" s="162"/>
      <c r="B50" s="376" t="s">
        <v>378</v>
      </c>
      <c r="C50" s="374" t="s">
        <v>379</v>
      </c>
      <c r="D50" s="373" t="s">
        <v>305</v>
      </c>
      <c r="E50" s="375">
        <v>1.5</v>
      </c>
      <c r="F50" s="375">
        <v>11.6</v>
      </c>
      <c r="G50" s="375">
        <v>2.4</v>
      </c>
      <c r="H50" s="375">
        <v>3.7</v>
      </c>
      <c r="I50" s="375">
        <v>5.8</v>
      </c>
      <c r="J50" s="377" t="str">
        <f t="shared" si="3"/>
        <v>moderately tolerant</v>
      </c>
      <c r="L50" s="31">
        <f t="shared" si="2"/>
        <v>2.4</v>
      </c>
    </row>
    <row r="51" spans="1:12" s="31" customFormat="1">
      <c r="A51" s="162"/>
      <c r="B51" s="376" t="s">
        <v>358</v>
      </c>
      <c r="C51" s="374" t="s">
        <v>359</v>
      </c>
      <c r="D51" s="373" t="s">
        <v>305</v>
      </c>
      <c r="E51" s="375">
        <v>1.5</v>
      </c>
      <c r="F51" s="375">
        <v>9.6999999999999993</v>
      </c>
      <c r="G51" s="375">
        <v>2.5</v>
      </c>
      <c r="H51" s="375">
        <v>4.0999999999999996</v>
      </c>
      <c r="I51" s="375">
        <v>6.7</v>
      </c>
      <c r="J51" s="377" t="str">
        <f t="shared" si="3"/>
        <v>moderately tolerant</v>
      </c>
      <c r="L51" s="31">
        <f t="shared" si="2"/>
        <v>2.5</v>
      </c>
    </row>
    <row r="52" spans="1:12" s="31" customFormat="1">
      <c r="A52" s="162"/>
      <c r="B52" s="376" t="s">
        <v>223</v>
      </c>
      <c r="C52" s="374" t="s">
        <v>224</v>
      </c>
      <c r="D52" s="373" t="s">
        <v>206</v>
      </c>
      <c r="E52" s="375">
        <v>1.5</v>
      </c>
      <c r="F52" s="375">
        <v>9.5</v>
      </c>
      <c r="G52" s="375">
        <v>2.6</v>
      </c>
      <c r="H52" s="375">
        <v>4.0999999999999996</v>
      </c>
      <c r="I52" s="375">
        <v>6.8</v>
      </c>
      <c r="J52" s="377" t="str">
        <f t="shared" si="3"/>
        <v>moderately tolerant</v>
      </c>
      <c r="L52" s="31">
        <f t="shared" si="2"/>
        <v>2.6</v>
      </c>
    </row>
    <row r="53" spans="1:12" s="31" customFormat="1">
      <c r="A53" s="162"/>
      <c r="B53" s="376" t="s">
        <v>285</v>
      </c>
      <c r="C53" s="374" t="s">
        <v>286</v>
      </c>
      <c r="D53" s="373" t="s">
        <v>262</v>
      </c>
      <c r="E53" s="375">
        <v>1.5</v>
      </c>
      <c r="F53" s="375">
        <v>9.5</v>
      </c>
      <c r="G53" s="375">
        <v>2.6</v>
      </c>
      <c r="H53" s="375">
        <v>4.0999999999999996</v>
      </c>
      <c r="I53" s="375">
        <v>6.8</v>
      </c>
      <c r="J53" s="377" t="str">
        <f t="shared" si="3"/>
        <v>moderately tolerant</v>
      </c>
      <c r="L53" s="31">
        <f t="shared" si="2"/>
        <v>2.6</v>
      </c>
    </row>
    <row r="54" spans="1:12" s="31" customFormat="1">
      <c r="A54" s="162"/>
      <c r="B54" s="391" t="s">
        <v>355</v>
      </c>
      <c r="C54" s="385" t="s">
        <v>356</v>
      </c>
      <c r="D54" s="373" t="s">
        <v>305</v>
      </c>
      <c r="E54" s="375">
        <v>1.5</v>
      </c>
      <c r="F54" s="375">
        <v>6.9</v>
      </c>
      <c r="G54" s="375">
        <v>2.9</v>
      </c>
      <c r="H54" s="375">
        <v>5.0999999999999996</v>
      </c>
      <c r="I54" s="375">
        <v>8.6999999999999993</v>
      </c>
      <c r="J54" s="377" t="str">
        <f t="shared" si="3"/>
        <v>tolerant</v>
      </c>
      <c r="L54" s="31">
        <f t="shared" si="2"/>
        <v>2.9</v>
      </c>
    </row>
    <row r="55" spans="1:12" s="31" customFormat="1">
      <c r="A55" s="162"/>
      <c r="B55" s="376" t="s">
        <v>360</v>
      </c>
      <c r="C55" s="374" t="s">
        <v>361</v>
      </c>
      <c r="D55" s="373" t="s">
        <v>305</v>
      </c>
      <c r="E55" s="375">
        <v>1.5</v>
      </c>
      <c r="F55" s="375">
        <v>6.2</v>
      </c>
      <c r="G55" s="375">
        <v>3.1</v>
      </c>
      <c r="H55" s="375">
        <v>5.5</v>
      </c>
      <c r="I55" s="375">
        <v>9.6</v>
      </c>
      <c r="J55" s="377" t="str">
        <f t="shared" si="3"/>
        <v>tolerant</v>
      </c>
      <c r="L55" s="31">
        <f t="shared" si="2"/>
        <v>3.1</v>
      </c>
    </row>
    <row r="56" spans="1:12" s="31" customFormat="1">
      <c r="A56" s="162"/>
      <c r="B56" s="391" t="s">
        <v>318</v>
      </c>
      <c r="C56" s="385" t="s">
        <v>319</v>
      </c>
      <c r="D56" s="373" t="s">
        <v>305</v>
      </c>
      <c r="E56" s="375">
        <v>1.5</v>
      </c>
      <c r="F56" s="375">
        <v>5.8</v>
      </c>
      <c r="G56" s="375">
        <v>3.2</v>
      </c>
      <c r="H56" s="375">
        <v>5.8</v>
      </c>
      <c r="I56" s="375">
        <v>10.1</v>
      </c>
      <c r="J56" s="377" t="str">
        <f t="shared" si="3"/>
        <v>tolerant</v>
      </c>
      <c r="L56" s="31">
        <f t="shared" si="2"/>
        <v>3.2</v>
      </c>
    </row>
    <row r="57" spans="1:12" s="31" customFormat="1">
      <c r="A57" s="162"/>
      <c r="B57" s="376" t="s">
        <v>267</v>
      </c>
      <c r="C57" s="374" t="s">
        <v>268</v>
      </c>
      <c r="D57" s="373" t="s">
        <v>262</v>
      </c>
      <c r="E57" s="375">
        <v>1.5</v>
      </c>
      <c r="F57" s="375">
        <v>3.2</v>
      </c>
      <c r="G57" s="375">
        <v>4.5999999999999996</v>
      </c>
      <c r="H57" s="375">
        <v>9.3000000000000007</v>
      </c>
      <c r="I57" s="375">
        <v>17.100000000000001</v>
      </c>
      <c r="J57" s="377" t="str">
        <f t="shared" si="3"/>
        <v>tolerant</v>
      </c>
      <c r="L57" s="31">
        <f t="shared" si="2"/>
        <v>4.5999999999999996</v>
      </c>
    </row>
    <row r="58" spans="1:12" s="31" customFormat="1">
      <c r="A58" s="162"/>
      <c r="B58" s="376" t="s">
        <v>299</v>
      </c>
      <c r="C58" s="374" t="s">
        <v>300</v>
      </c>
      <c r="D58" s="373" t="s">
        <v>262</v>
      </c>
      <c r="E58" s="375">
        <v>1.6</v>
      </c>
      <c r="F58" s="375"/>
      <c r="G58" s="375"/>
      <c r="H58" s="375"/>
      <c r="I58" s="375"/>
      <c r="J58" s="377" t="str">
        <f t="shared" si="3"/>
        <v>moderately tolerant</v>
      </c>
      <c r="L58" s="31">
        <f t="shared" si="2"/>
        <v>1.6</v>
      </c>
    </row>
    <row r="59" spans="1:12" s="31" customFormat="1">
      <c r="A59" s="162"/>
      <c r="B59" s="376" t="s">
        <v>211</v>
      </c>
      <c r="C59" s="374" t="s">
        <v>212</v>
      </c>
      <c r="D59" s="373" t="s">
        <v>206</v>
      </c>
      <c r="E59" s="375">
        <v>1.6</v>
      </c>
      <c r="F59" s="375">
        <v>23</v>
      </c>
      <c r="G59" s="375">
        <v>2</v>
      </c>
      <c r="H59" s="375">
        <v>2.7</v>
      </c>
      <c r="I59" s="375">
        <v>3.8</v>
      </c>
      <c r="J59" s="377" t="str">
        <f t="shared" si="3"/>
        <v>moderately tolerant</v>
      </c>
      <c r="L59" s="31">
        <f t="shared" si="2"/>
        <v>2</v>
      </c>
    </row>
    <row r="60" spans="1:12" s="31" customFormat="1">
      <c r="A60" s="162"/>
      <c r="B60" s="376" t="s">
        <v>322</v>
      </c>
      <c r="C60" s="374" t="s">
        <v>323</v>
      </c>
      <c r="D60" s="373" t="s">
        <v>305</v>
      </c>
      <c r="E60" s="375">
        <v>1.6</v>
      </c>
      <c r="F60" s="375">
        <v>10.3</v>
      </c>
      <c r="G60" s="375">
        <v>2.6</v>
      </c>
      <c r="H60" s="375">
        <v>4</v>
      </c>
      <c r="I60" s="375">
        <v>6.5</v>
      </c>
      <c r="J60" s="377" t="str">
        <f t="shared" si="3"/>
        <v>moderately tolerant</v>
      </c>
      <c r="L60" s="31">
        <f t="shared" si="2"/>
        <v>2.6</v>
      </c>
    </row>
    <row r="61" spans="1:12" s="31" customFormat="1">
      <c r="A61" s="162"/>
      <c r="B61" s="376" t="s">
        <v>399</v>
      </c>
      <c r="C61" s="374" t="s">
        <v>400</v>
      </c>
      <c r="D61" s="373" t="s">
        <v>396</v>
      </c>
      <c r="E61" s="375">
        <v>1.6</v>
      </c>
      <c r="F61" s="375">
        <v>9.6</v>
      </c>
      <c r="G61" s="375">
        <v>2.6</v>
      </c>
      <c r="H61" s="375">
        <v>4.2</v>
      </c>
      <c r="I61" s="375">
        <v>6.8</v>
      </c>
      <c r="J61" s="377" t="str">
        <f t="shared" si="3"/>
        <v>moderately tolerant</v>
      </c>
      <c r="L61" s="31">
        <f t="shared" si="2"/>
        <v>2.6</v>
      </c>
    </row>
    <row r="62" spans="1:12" s="31" customFormat="1">
      <c r="A62" s="162"/>
      <c r="B62" s="376" t="s">
        <v>176</v>
      </c>
      <c r="C62" s="374" t="s">
        <v>177</v>
      </c>
      <c r="D62" s="373" t="s">
        <v>171</v>
      </c>
      <c r="E62" s="375">
        <v>1.6</v>
      </c>
      <c r="F62" s="375">
        <v>9</v>
      </c>
      <c r="G62" s="375">
        <v>2.7</v>
      </c>
      <c r="H62" s="375">
        <v>4.4000000000000004</v>
      </c>
      <c r="I62" s="375">
        <v>7.2</v>
      </c>
      <c r="J62" s="377" t="str">
        <f t="shared" si="3"/>
        <v>moderately tolerant</v>
      </c>
      <c r="L62" s="31">
        <f t="shared" si="2"/>
        <v>2.7</v>
      </c>
    </row>
    <row r="63" spans="1:12" s="31" customFormat="1">
      <c r="A63" s="162"/>
      <c r="B63" s="376" t="s">
        <v>235</v>
      </c>
      <c r="C63" s="374" t="s">
        <v>236</v>
      </c>
      <c r="D63" s="373" t="s">
        <v>206</v>
      </c>
      <c r="E63" s="375">
        <v>1.7</v>
      </c>
      <c r="F63" s="375">
        <v>15.9</v>
      </c>
      <c r="G63" s="375">
        <v>2.2999999999999998</v>
      </c>
      <c r="H63" s="375">
        <v>3.3</v>
      </c>
      <c r="I63" s="375">
        <v>4.8</v>
      </c>
      <c r="J63" s="377" t="str">
        <f t="shared" si="3"/>
        <v>moderately tolerant</v>
      </c>
      <c r="L63" s="31">
        <f t="shared" si="2"/>
        <v>2.2999999999999998</v>
      </c>
    </row>
    <row r="64" spans="1:12" s="31" customFormat="1">
      <c r="A64" s="162"/>
      <c r="B64" s="376" t="s">
        <v>172</v>
      </c>
      <c r="C64" s="374" t="s">
        <v>173</v>
      </c>
      <c r="D64" s="373" t="s">
        <v>171</v>
      </c>
      <c r="E64" s="375">
        <v>1.7</v>
      </c>
      <c r="F64" s="375">
        <v>12</v>
      </c>
      <c r="G64" s="375">
        <v>2.5</v>
      </c>
      <c r="H64" s="375">
        <v>3.8</v>
      </c>
      <c r="I64" s="375">
        <v>5.9</v>
      </c>
      <c r="J64" s="377" t="str">
        <f t="shared" si="3"/>
        <v>moderately tolerant</v>
      </c>
      <c r="L64" s="31">
        <f t="shared" ref="L64:L87" si="4">IF(ISNUMBER(G64),G64,IF(ISNUMBER(E64),E64,""))</f>
        <v>2.5</v>
      </c>
    </row>
    <row r="65" spans="1:12" s="31" customFormat="1">
      <c r="A65" s="162"/>
      <c r="B65" s="376" t="s">
        <v>180</v>
      </c>
      <c r="C65" s="374" t="s">
        <v>181</v>
      </c>
      <c r="D65" s="373" t="s">
        <v>171</v>
      </c>
      <c r="E65" s="375">
        <v>1.7</v>
      </c>
      <c r="F65" s="375">
        <v>12</v>
      </c>
      <c r="G65" s="375">
        <v>2.5</v>
      </c>
      <c r="H65" s="375">
        <v>3.8</v>
      </c>
      <c r="I65" s="375">
        <v>5.9</v>
      </c>
      <c r="J65" s="377" t="str">
        <f t="shared" si="3"/>
        <v>moderately tolerant</v>
      </c>
      <c r="L65" s="31">
        <f t="shared" si="4"/>
        <v>2.5</v>
      </c>
    </row>
    <row r="66" spans="1:12" s="31" customFormat="1">
      <c r="A66" s="162"/>
      <c r="B66" s="376" t="s">
        <v>258</v>
      </c>
      <c r="C66" s="374" t="s">
        <v>259</v>
      </c>
      <c r="D66" s="373" t="s">
        <v>252</v>
      </c>
      <c r="E66" s="375">
        <v>1.7</v>
      </c>
      <c r="F66" s="375">
        <v>12</v>
      </c>
      <c r="G66" s="375">
        <v>2.5</v>
      </c>
      <c r="H66" s="375">
        <v>3.8</v>
      </c>
      <c r="I66" s="375">
        <v>5.9</v>
      </c>
      <c r="J66" s="377" t="str">
        <f t="shared" si="3"/>
        <v>moderately tolerant</v>
      </c>
      <c r="L66" s="31">
        <f t="shared" si="4"/>
        <v>2.5</v>
      </c>
    </row>
    <row r="67" spans="1:12" s="31" customFormat="1">
      <c r="A67" s="162"/>
      <c r="B67" s="376" t="s">
        <v>273</v>
      </c>
      <c r="C67" s="374" t="s">
        <v>274</v>
      </c>
      <c r="D67" s="373" t="s">
        <v>262</v>
      </c>
      <c r="E67" s="375">
        <v>1.7</v>
      </c>
      <c r="F67" s="375">
        <v>10.8</v>
      </c>
      <c r="G67" s="375">
        <v>2.6</v>
      </c>
      <c r="H67" s="375">
        <v>4</v>
      </c>
      <c r="I67" s="375">
        <v>6.3</v>
      </c>
      <c r="J67" s="377" t="str">
        <f t="shared" si="3"/>
        <v>moderately tolerant</v>
      </c>
      <c r="L67" s="31">
        <f t="shared" si="4"/>
        <v>2.6</v>
      </c>
    </row>
    <row r="68" spans="1:12" s="31" customFormat="1">
      <c r="A68" s="162"/>
      <c r="B68" s="376" t="s">
        <v>198</v>
      </c>
      <c r="C68" s="374" t="s">
        <v>199</v>
      </c>
      <c r="D68" s="373" t="s">
        <v>171</v>
      </c>
      <c r="E68" s="375">
        <v>1.7</v>
      </c>
      <c r="F68" s="375">
        <v>5.9</v>
      </c>
      <c r="G68" s="375">
        <v>3.4</v>
      </c>
      <c r="H68" s="375">
        <v>5.9</v>
      </c>
      <c r="I68" s="375">
        <v>10.199999999999999</v>
      </c>
      <c r="J68" s="377" t="str">
        <f t="shared" si="3"/>
        <v>tolerant</v>
      </c>
      <c r="L68" s="31">
        <f t="shared" si="4"/>
        <v>3.4</v>
      </c>
    </row>
    <row r="69" spans="1:12" s="31" customFormat="1">
      <c r="A69" s="162"/>
      <c r="B69" s="376" t="s">
        <v>287</v>
      </c>
      <c r="C69" s="374" t="s">
        <v>288</v>
      </c>
      <c r="D69" s="373" t="s">
        <v>262</v>
      </c>
      <c r="E69" s="375">
        <v>1.8</v>
      </c>
      <c r="F69" s="375"/>
      <c r="G69" s="375"/>
      <c r="H69" s="375"/>
      <c r="I69" s="375"/>
      <c r="J69" s="377" t="str">
        <f t="shared" si="3"/>
        <v>moderately tolerant</v>
      </c>
      <c r="L69" s="31">
        <f t="shared" si="4"/>
        <v>1.8</v>
      </c>
    </row>
    <row r="70" spans="1:12" s="31" customFormat="1">
      <c r="A70" s="162"/>
      <c r="B70" s="376" t="s">
        <v>225</v>
      </c>
      <c r="C70" s="374" t="s">
        <v>226</v>
      </c>
      <c r="D70" s="373" t="s">
        <v>206</v>
      </c>
      <c r="E70" s="375">
        <v>1.8</v>
      </c>
      <c r="F70" s="375">
        <v>16.100000000000001</v>
      </c>
      <c r="G70" s="375">
        <v>2.4</v>
      </c>
      <c r="H70" s="375">
        <v>3.4</v>
      </c>
      <c r="I70" s="375">
        <v>4.9000000000000004</v>
      </c>
      <c r="J70" s="377" t="str">
        <f t="shared" si="3"/>
        <v>moderately tolerant</v>
      </c>
      <c r="L70" s="31">
        <f t="shared" si="4"/>
        <v>2.4</v>
      </c>
    </row>
    <row r="71" spans="1:12" s="31" customFormat="1">
      <c r="A71" s="162"/>
      <c r="B71" s="376" t="s">
        <v>342</v>
      </c>
      <c r="C71" s="374" t="s">
        <v>343</v>
      </c>
      <c r="D71" s="373" t="s">
        <v>305</v>
      </c>
      <c r="E71" s="375">
        <v>1.8</v>
      </c>
      <c r="F71" s="375">
        <v>9.9</v>
      </c>
      <c r="G71" s="375">
        <v>2.8</v>
      </c>
      <c r="H71" s="375">
        <v>4.3</v>
      </c>
      <c r="I71" s="375">
        <v>6.9</v>
      </c>
      <c r="J71" s="377" t="str">
        <f t="shared" ref="J71:J102" si="5">IF(ISNUMBER(G71),IF(AND(G71&gt;=0,G71&lt;0.65),"sensitive",IF(AND(G71&gt;=0.65,G71&lt;1.3),"moderately sensitive",IF(AND(G71&gt;=1.3,G71&lt;2.9),"moderately tolerant",IF(AND(G71&gt;=2.9,G71&lt;5.2),"tolerant",IF(AND(G71&gt;=5.2,G71&lt;8.1),"very tolerant",IF(G71&gt;=8.1,"very highly tolerant")))))),IF(AND(ISNUMBER(E71),(OR(ISTEXT(G71),ISBLANK(G71)))),IF(AND(E71&gt;=0,E71&lt;0.65),"sensitive",IF(AND(E71&gt;=0.65,E71&lt;1.3),"moderately sensitive",IF(AND(E71&gt;=1.3,E71&lt;2.9),"moderately tolerant",IF(AND(E71&gt;=2.9,E71&lt;5.2),"tolerant",IF(AND(E71&gt;=5.2,E71&lt;8.1),"very tolerant",IF(E71&gt;=8.1,"very highly tolerant",""))))))))</f>
        <v>moderately tolerant</v>
      </c>
      <c r="L71" s="31">
        <f t="shared" si="4"/>
        <v>2.8</v>
      </c>
    </row>
    <row r="72" spans="1:12" s="31" customFormat="1">
      <c r="A72" s="162"/>
      <c r="B72" s="376" t="s">
        <v>403</v>
      </c>
      <c r="C72" s="374" t="s">
        <v>404</v>
      </c>
      <c r="D72" s="373" t="s">
        <v>396</v>
      </c>
      <c r="E72" s="375">
        <v>1.8</v>
      </c>
      <c r="F72" s="375">
        <v>9.6999999999999993</v>
      </c>
      <c r="G72" s="375">
        <v>2.8</v>
      </c>
      <c r="H72" s="375">
        <v>4.4000000000000004</v>
      </c>
      <c r="I72" s="375">
        <v>7</v>
      </c>
      <c r="J72" s="377" t="str">
        <f t="shared" si="5"/>
        <v>moderately tolerant</v>
      </c>
      <c r="L72" s="31">
        <f t="shared" si="4"/>
        <v>2.8</v>
      </c>
    </row>
    <row r="73" spans="1:12" s="31" customFormat="1">
      <c r="A73" s="162"/>
      <c r="B73" s="376" t="s">
        <v>364</v>
      </c>
      <c r="C73" s="374" t="s">
        <v>365</v>
      </c>
      <c r="D73" s="373" t="s">
        <v>305</v>
      </c>
      <c r="E73" s="375">
        <v>1.8</v>
      </c>
      <c r="F73" s="375">
        <v>9</v>
      </c>
      <c r="G73" s="375">
        <v>2.9</v>
      </c>
      <c r="H73" s="375">
        <v>4.5999999999999996</v>
      </c>
      <c r="I73" s="375">
        <v>7.4</v>
      </c>
      <c r="J73" s="377" t="str">
        <f t="shared" si="5"/>
        <v>tolerant</v>
      </c>
      <c r="L73" s="31">
        <f t="shared" si="4"/>
        <v>2.9</v>
      </c>
    </row>
    <row r="74" spans="1:12" s="31" customFormat="1">
      <c r="A74" s="162"/>
      <c r="B74" s="376" t="s">
        <v>328</v>
      </c>
      <c r="C74" s="374" t="s">
        <v>173</v>
      </c>
      <c r="D74" s="373" t="s">
        <v>305</v>
      </c>
      <c r="E74" s="375">
        <v>1.8</v>
      </c>
      <c r="F74" s="375">
        <v>7.4</v>
      </c>
      <c r="G74" s="375">
        <v>3.2</v>
      </c>
      <c r="H74" s="375">
        <v>5.2</v>
      </c>
      <c r="I74" s="375">
        <v>8.6</v>
      </c>
      <c r="J74" s="377" t="str">
        <f t="shared" si="5"/>
        <v>tolerant</v>
      </c>
      <c r="L74" s="31">
        <f t="shared" si="4"/>
        <v>3.2</v>
      </c>
    </row>
    <row r="75" spans="1:12" s="31" customFormat="1">
      <c r="A75" s="162"/>
      <c r="B75" s="376" t="s">
        <v>408</v>
      </c>
      <c r="C75" s="374" t="s">
        <v>409</v>
      </c>
      <c r="D75" s="373" t="s">
        <v>396</v>
      </c>
      <c r="E75" s="375">
        <v>1.8</v>
      </c>
      <c r="F75" s="375">
        <v>6.2</v>
      </c>
      <c r="G75" s="375">
        <v>3.4</v>
      </c>
      <c r="H75" s="375">
        <v>5.8</v>
      </c>
      <c r="I75" s="375">
        <v>9.9</v>
      </c>
      <c r="J75" s="377" t="str">
        <f t="shared" si="5"/>
        <v>tolerant</v>
      </c>
      <c r="L75" s="31">
        <f t="shared" si="4"/>
        <v>3.4</v>
      </c>
    </row>
    <row r="76" spans="1:12" s="31" customFormat="1">
      <c r="A76" s="162"/>
      <c r="B76" s="376" t="s">
        <v>263</v>
      </c>
      <c r="C76" s="374" t="s">
        <v>264</v>
      </c>
      <c r="D76" s="373" t="s">
        <v>262</v>
      </c>
      <c r="E76" s="375">
        <v>2</v>
      </c>
      <c r="F76" s="375"/>
      <c r="G76" s="375"/>
      <c r="H76" s="375"/>
      <c r="I76" s="375"/>
      <c r="J76" s="377" t="str">
        <f t="shared" si="5"/>
        <v>moderately tolerant</v>
      </c>
      <c r="L76" s="31">
        <f t="shared" si="4"/>
        <v>2</v>
      </c>
    </row>
    <row r="77" spans="1:12" s="31" customFormat="1">
      <c r="A77" s="162"/>
      <c r="B77" s="376" t="s">
        <v>289</v>
      </c>
      <c r="C77" s="374" t="s">
        <v>290</v>
      </c>
      <c r="D77" s="373" t="s">
        <v>262</v>
      </c>
      <c r="E77" s="375">
        <v>2</v>
      </c>
      <c r="F77" s="375">
        <v>21</v>
      </c>
      <c r="G77" s="375">
        <v>2.5</v>
      </c>
      <c r="H77" s="375">
        <v>3.2</v>
      </c>
      <c r="I77" s="375">
        <v>4.4000000000000004</v>
      </c>
      <c r="J77" s="377" t="str">
        <f t="shared" si="5"/>
        <v>moderately tolerant</v>
      </c>
      <c r="L77" s="31">
        <f t="shared" si="4"/>
        <v>2.5</v>
      </c>
    </row>
    <row r="78" spans="1:12" s="31" customFormat="1">
      <c r="A78" s="162"/>
      <c r="B78" s="376" t="s">
        <v>178</v>
      </c>
      <c r="C78" s="374" t="s">
        <v>179</v>
      </c>
      <c r="D78" s="373" t="s">
        <v>171</v>
      </c>
      <c r="E78" s="375">
        <v>2</v>
      </c>
      <c r="F78" s="375">
        <v>10.8</v>
      </c>
      <c r="G78" s="375">
        <v>2.9</v>
      </c>
      <c r="H78" s="375">
        <v>4.3</v>
      </c>
      <c r="I78" s="375">
        <v>6.6</v>
      </c>
      <c r="J78" s="377" t="str">
        <f t="shared" si="5"/>
        <v>tolerant</v>
      </c>
      <c r="L78" s="31">
        <f t="shared" si="4"/>
        <v>2.9</v>
      </c>
    </row>
    <row r="79" spans="1:12" s="31" customFormat="1">
      <c r="A79" s="162"/>
      <c r="B79" s="391" t="s">
        <v>317</v>
      </c>
      <c r="C79" s="385" t="s">
        <v>319</v>
      </c>
      <c r="D79" s="373" t="s">
        <v>305</v>
      </c>
      <c r="E79" s="375">
        <v>2</v>
      </c>
      <c r="F79" s="375">
        <v>10.3</v>
      </c>
      <c r="G79" s="375">
        <v>3</v>
      </c>
      <c r="H79" s="375">
        <v>4.4000000000000004</v>
      </c>
      <c r="I79" s="375">
        <v>6.9</v>
      </c>
      <c r="J79" s="377" t="str">
        <f t="shared" si="5"/>
        <v>tolerant</v>
      </c>
      <c r="L79" s="31">
        <f t="shared" si="4"/>
        <v>3</v>
      </c>
    </row>
    <row r="80" spans="1:12" s="31" customFormat="1">
      <c r="A80" s="162"/>
      <c r="B80" s="376" t="s">
        <v>293</v>
      </c>
      <c r="C80" s="374" t="s">
        <v>294</v>
      </c>
      <c r="D80" s="373" t="s">
        <v>262</v>
      </c>
      <c r="E80" s="375">
        <v>2</v>
      </c>
      <c r="F80" s="375">
        <v>9.1</v>
      </c>
      <c r="G80" s="375">
        <v>3.1</v>
      </c>
      <c r="H80" s="375">
        <v>4.7</v>
      </c>
      <c r="I80" s="375">
        <v>7.5</v>
      </c>
      <c r="J80" s="377" t="str">
        <f t="shared" si="5"/>
        <v>tolerant</v>
      </c>
      <c r="L80" s="31">
        <f t="shared" si="4"/>
        <v>3.1</v>
      </c>
    </row>
    <row r="81" spans="1:12" s="31" customFormat="1">
      <c r="A81" s="162"/>
      <c r="B81" s="376" t="s">
        <v>295</v>
      </c>
      <c r="C81" s="374" t="s">
        <v>296</v>
      </c>
      <c r="D81" s="373" t="s">
        <v>262</v>
      </c>
      <c r="E81" s="375">
        <v>2</v>
      </c>
      <c r="F81" s="375">
        <v>9.1</v>
      </c>
      <c r="G81" s="375">
        <v>3.1</v>
      </c>
      <c r="H81" s="375">
        <v>4.7</v>
      </c>
      <c r="I81" s="375">
        <v>7.5</v>
      </c>
      <c r="J81" s="377" t="str">
        <f t="shared" si="5"/>
        <v>tolerant</v>
      </c>
      <c r="L81" s="31">
        <f t="shared" si="4"/>
        <v>3.1</v>
      </c>
    </row>
    <row r="82" spans="1:12" s="31" customFormat="1">
      <c r="A82" s="162"/>
      <c r="B82" s="376" t="s">
        <v>352</v>
      </c>
      <c r="C82" s="374" t="s">
        <v>353</v>
      </c>
      <c r="D82" s="373" t="s">
        <v>305</v>
      </c>
      <c r="E82" s="375">
        <v>2</v>
      </c>
      <c r="F82" s="375">
        <v>8.5</v>
      </c>
      <c r="G82" s="375">
        <v>3.2</v>
      </c>
      <c r="H82" s="375">
        <v>4.9000000000000004</v>
      </c>
      <c r="I82" s="375">
        <v>7.9</v>
      </c>
      <c r="J82" s="377" t="str">
        <f t="shared" si="5"/>
        <v>tolerant</v>
      </c>
      <c r="L82" s="31">
        <f t="shared" si="4"/>
        <v>3.2</v>
      </c>
    </row>
    <row r="83" spans="1:12" s="31" customFormat="1">
      <c r="A83" s="162"/>
      <c r="B83" s="376" t="s">
        <v>374</v>
      </c>
      <c r="C83" s="374" t="s">
        <v>375</v>
      </c>
      <c r="D83" s="373" t="s">
        <v>305</v>
      </c>
      <c r="E83" s="375">
        <v>2</v>
      </c>
      <c r="F83" s="375">
        <v>7.9</v>
      </c>
      <c r="G83" s="375">
        <v>3.3</v>
      </c>
      <c r="H83" s="375">
        <v>5.2</v>
      </c>
      <c r="I83" s="375">
        <v>8.3000000000000007</v>
      </c>
      <c r="J83" s="377" t="str">
        <f t="shared" si="5"/>
        <v>tolerant</v>
      </c>
      <c r="L83" s="31">
        <f t="shared" si="4"/>
        <v>3.3</v>
      </c>
    </row>
    <row r="84" spans="1:12" s="31" customFormat="1">
      <c r="A84" s="162"/>
      <c r="B84" s="376" t="s">
        <v>424</v>
      </c>
      <c r="C84" s="374" t="s">
        <v>425</v>
      </c>
      <c r="D84" s="373" t="s">
        <v>396</v>
      </c>
      <c r="E84" s="375">
        <v>2</v>
      </c>
      <c r="F84" s="375">
        <v>7.6</v>
      </c>
      <c r="G84" s="375">
        <v>3.3</v>
      </c>
      <c r="H84" s="375">
        <v>5.3</v>
      </c>
      <c r="I84" s="375">
        <v>8.6</v>
      </c>
      <c r="J84" s="377" t="str">
        <f t="shared" si="5"/>
        <v>tolerant</v>
      </c>
      <c r="L84" s="31">
        <f t="shared" si="4"/>
        <v>3.3</v>
      </c>
    </row>
    <row r="85" spans="1:12" s="31" customFormat="1">
      <c r="A85" s="162"/>
      <c r="B85" s="376" t="s">
        <v>357</v>
      </c>
      <c r="C85" s="374" t="s">
        <v>356</v>
      </c>
      <c r="D85" s="373" t="s">
        <v>305</v>
      </c>
      <c r="E85" s="375">
        <v>2</v>
      </c>
      <c r="F85" s="375">
        <v>7.3</v>
      </c>
      <c r="G85" s="375">
        <v>3.4</v>
      </c>
      <c r="H85" s="375">
        <v>5.4</v>
      </c>
      <c r="I85" s="375">
        <v>8.8000000000000007</v>
      </c>
      <c r="J85" s="377" t="str">
        <f t="shared" si="5"/>
        <v>tolerant</v>
      </c>
      <c r="L85" s="31">
        <f t="shared" si="4"/>
        <v>3.4</v>
      </c>
    </row>
    <row r="86" spans="1:12" s="31" customFormat="1">
      <c r="A86" s="162"/>
      <c r="B86" s="391" t="s">
        <v>354</v>
      </c>
      <c r="C86" s="385" t="s">
        <v>356</v>
      </c>
      <c r="D86" s="373" t="s">
        <v>305</v>
      </c>
      <c r="E86" s="375">
        <v>2</v>
      </c>
      <c r="F86" s="375">
        <v>6</v>
      </c>
      <c r="G86" s="375">
        <v>3.7</v>
      </c>
      <c r="H86" s="375">
        <v>6.2</v>
      </c>
      <c r="I86" s="375">
        <v>10.3</v>
      </c>
      <c r="J86" s="377" t="str">
        <f t="shared" si="5"/>
        <v>tolerant</v>
      </c>
      <c r="L86" s="31">
        <f t="shared" si="4"/>
        <v>3.7</v>
      </c>
    </row>
    <row r="87" spans="1:12" s="31" customFormat="1">
      <c r="A87" s="162"/>
      <c r="B87" s="376" t="s">
        <v>362</v>
      </c>
      <c r="C87" s="374" t="s">
        <v>363</v>
      </c>
      <c r="D87" s="373" t="s">
        <v>305</v>
      </c>
      <c r="E87" s="375">
        <v>2</v>
      </c>
      <c r="F87" s="375">
        <v>4</v>
      </c>
      <c r="G87" s="375">
        <v>4.5</v>
      </c>
      <c r="H87" s="375">
        <v>8.3000000000000007</v>
      </c>
      <c r="I87" s="375">
        <v>14.5</v>
      </c>
      <c r="J87" s="377" t="str">
        <f t="shared" si="5"/>
        <v>tolerant</v>
      </c>
      <c r="L87" s="31">
        <f t="shared" si="4"/>
        <v>4.5</v>
      </c>
    </row>
    <row r="88" spans="1:12" s="31" customFormat="1">
      <c r="A88" s="162"/>
      <c r="B88" s="376" t="s">
        <v>1088</v>
      </c>
      <c r="C88" s="374" t="s">
        <v>199</v>
      </c>
      <c r="D88" s="373" t="s">
        <v>171</v>
      </c>
      <c r="E88" s="375">
        <v>2</v>
      </c>
      <c r="F88" s="375">
        <v>6.7</v>
      </c>
      <c r="G88" s="375"/>
      <c r="H88" s="375"/>
      <c r="I88" s="375"/>
      <c r="J88" s="377" t="str">
        <f t="shared" si="5"/>
        <v>moderately tolerant</v>
      </c>
    </row>
    <row r="89" spans="1:12" s="31" customFormat="1">
      <c r="A89" s="162"/>
      <c r="B89" s="376" t="s">
        <v>1089</v>
      </c>
      <c r="C89" s="374" t="s">
        <v>199</v>
      </c>
      <c r="D89" s="373" t="s">
        <v>171</v>
      </c>
      <c r="E89" s="375">
        <v>2</v>
      </c>
      <c r="F89" s="375">
        <v>10.6</v>
      </c>
      <c r="G89" s="375"/>
      <c r="H89" s="375"/>
      <c r="I89" s="375"/>
      <c r="J89" s="377" t="str">
        <f t="shared" si="5"/>
        <v>moderately tolerant</v>
      </c>
    </row>
    <row r="90" spans="1:12" s="31" customFormat="1">
      <c r="A90" s="162"/>
      <c r="B90" s="376" t="s">
        <v>332</v>
      </c>
      <c r="C90" s="374" t="s">
        <v>333</v>
      </c>
      <c r="D90" s="373" t="s">
        <v>305</v>
      </c>
      <c r="E90" s="375">
        <v>2.1</v>
      </c>
      <c r="F90" s="375">
        <v>14.9</v>
      </c>
      <c r="G90" s="375">
        <v>2.8</v>
      </c>
      <c r="H90" s="375">
        <v>3.8</v>
      </c>
      <c r="I90" s="375">
        <v>5.5</v>
      </c>
      <c r="J90" s="377" t="str">
        <f t="shared" si="5"/>
        <v>moderately tolerant</v>
      </c>
      <c r="L90" s="31">
        <f t="shared" ref="L90:L121" si="6">IF(ISNUMBER(G90),G90,IF(ISNUMBER(E90),E90,""))</f>
        <v>2.8</v>
      </c>
    </row>
    <row r="91" spans="1:12" s="31" customFormat="1">
      <c r="A91" s="162"/>
      <c r="B91" s="376" t="s">
        <v>248</v>
      </c>
      <c r="C91" s="374" t="s">
        <v>249</v>
      </c>
      <c r="D91" s="373" t="s">
        <v>206</v>
      </c>
      <c r="E91" s="375">
        <v>2.2000000000000002</v>
      </c>
      <c r="F91" s="375">
        <v>7.3</v>
      </c>
      <c r="G91" s="375">
        <v>3.6</v>
      </c>
      <c r="H91" s="375">
        <v>5.6</v>
      </c>
      <c r="I91" s="375">
        <v>9</v>
      </c>
      <c r="J91" s="377" t="str">
        <f t="shared" si="5"/>
        <v>tolerant</v>
      </c>
      <c r="L91" s="31">
        <f t="shared" si="6"/>
        <v>3.6</v>
      </c>
    </row>
    <row r="92" spans="1:12" s="31" customFormat="1">
      <c r="A92" s="162"/>
      <c r="B92" s="376" t="s">
        <v>430</v>
      </c>
      <c r="C92" s="374" t="s">
        <v>431</v>
      </c>
      <c r="D92" s="373" t="s">
        <v>396</v>
      </c>
      <c r="E92" s="375">
        <v>2.2999999999999998</v>
      </c>
      <c r="F92" s="375">
        <v>18.899999999999999</v>
      </c>
      <c r="G92" s="375">
        <v>2.8</v>
      </c>
      <c r="H92" s="375">
        <v>3.6</v>
      </c>
      <c r="I92" s="375">
        <v>4.9000000000000004</v>
      </c>
      <c r="J92" s="377" t="str">
        <f t="shared" si="5"/>
        <v>moderately tolerant</v>
      </c>
      <c r="L92" s="31">
        <f t="shared" si="6"/>
        <v>2.8</v>
      </c>
    </row>
    <row r="93" spans="1:12" s="31" customFormat="1">
      <c r="A93" s="162"/>
      <c r="B93" s="376" t="s">
        <v>370</v>
      </c>
      <c r="C93" s="374" t="s">
        <v>371</v>
      </c>
      <c r="D93" s="373" t="s">
        <v>305</v>
      </c>
      <c r="E93" s="375">
        <v>2.2999999999999998</v>
      </c>
      <c r="F93" s="375">
        <v>7</v>
      </c>
      <c r="G93" s="375">
        <v>3.7</v>
      </c>
      <c r="H93" s="375">
        <v>5.9</v>
      </c>
      <c r="I93" s="375">
        <v>9.4</v>
      </c>
      <c r="J93" s="377" t="str">
        <f t="shared" si="5"/>
        <v>tolerant</v>
      </c>
      <c r="L93" s="31">
        <f t="shared" si="6"/>
        <v>3.7</v>
      </c>
    </row>
    <row r="94" spans="1:12" s="31" customFormat="1">
      <c r="A94" s="162"/>
      <c r="B94" s="376" t="s">
        <v>382</v>
      </c>
      <c r="C94" s="374" t="s">
        <v>383</v>
      </c>
      <c r="D94" s="373" t="s">
        <v>305</v>
      </c>
      <c r="E94" s="375">
        <v>2.4</v>
      </c>
      <c r="F94" s="375">
        <v>20.399999999999999</v>
      </c>
      <c r="G94" s="375">
        <v>2.9</v>
      </c>
      <c r="H94" s="375">
        <v>3.6</v>
      </c>
      <c r="I94" s="375">
        <v>4.9000000000000004</v>
      </c>
      <c r="J94" s="377" t="str">
        <f t="shared" si="5"/>
        <v>tolerant</v>
      </c>
      <c r="L94" s="31">
        <f t="shared" si="6"/>
        <v>2.9</v>
      </c>
    </row>
    <row r="95" spans="1:12" s="31" customFormat="1">
      <c r="A95" s="162"/>
      <c r="B95" s="376" t="s">
        <v>372</v>
      </c>
      <c r="C95" s="374" t="s">
        <v>373</v>
      </c>
      <c r="D95" s="373" t="s">
        <v>305</v>
      </c>
      <c r="E95" s="375">
        <v>2.4</v>
      </c>
      <c r="F95" s="375">
        <v>12.2</v>
      </c>
      <c r="G95" s="375">
        <v>3.2</v>
      </c>
      <c r="H95" s="375">
        <v>4.5</v>
      </c>
      <c r="I95" s="375">
        <v>6.5</v>
      </c>
      <c r="J95" s="377" t="str">
        <f t="shared" si="5"/>
        <v>tolerant</v>
      </c>
      <c r="L95" s="31">
        <f t="shared" si="6"/>
        <v>3.2</v>
      </c>
    </row>
    <row r="96" spans="1:12" s="31" customFormat="1">
      <c r="A96" s="162"/>
      <c r="B96" s="376" t="s">
        <v>407</v>
      </c>
      <c r="C96" s="374" t="s">
        <v>402</v>
      </c>
      <c r="D96" s="373" t="s">
        <v>396</v>
      </c>
      <c r="E96" s="375">
        <v>2.5</v>
      </c>
      <c r="F96" s="375"/>
      <c r="G96" s="375"/>
      <c r="H96" s="375"/>
      <c r="I96" s="375"/>
      <c r="J96" s="377" t="str">
        <f t="shared" si="5"/>
        <v>moderately tolerant</v>
      </c>
      <c r="L96" s="31">
        <f t="shared" si="6"/>
        <v>2.5</v>
      </c>
    </row>
    <row r="97" spans="1:12" s="31" customFormat="1">
      <c r="A97" s="162"/>
      <c r="B97" s="376" t="s">
        <v>418</v>
      </c>
      <c r="C97" s="374" t="s">
        <v>419</v>
      </c>
      <c r="D97" s="373" t="s">
        <v>396</v>
      </c>
      <c r="E97" s="375">
        <v>2.5</v>
      </c>
      <c r="F97" s="375"/>
      <c r="G97" s="375"/>
      <c r="H97" s="375"/>
      <c r="I97" s="375"/>
      <c r="J97" s="377" t="str">
        <f t="shared" si="5"/>
        <v>moderately tolerant</v>
      </c>
      <c r="L97" s="31">
        <f t="shared" si="6"/>
        <v>2.5</v>
      </c>
    </row>
    <row r="98" spans="1:12" s="31" customFormat="1">
      <c r="A98" s="162"/>
      <c r="B98" s="376" t="s">
        <v>426</v>
      </c>
      <c r="C98" s="374" t="s">
        <v>427</v>
      </c>
      <c r="D98" s="373" t="s">
        <v>396</v>
      </c>
      <c r="E98" s="375">
        <v>2.5</v>
      </c>
      <c r="F98" s="375"/>
      <c r="G98" s="375"/>
      <c r="H98" s="375"/>
      <c r="I98" s="375"/>
      <c r="J98" s="377" t="str">
        <f t="shared" si="5"/>
        <v>moderately tolerant</v>
      </c>
      <c r="L98" s="31">
        <f t="shared" si="6"/>
        <v>2.5</v>
      </c>
    </row>
    <row r="99" spans="1:12" s="31" customFormat="1">
      <c r="A99" s="162"/>
      <c r="B99" s="376" t="s">
        <v>410</v>
      </c>
      <c r="C99" s="374" t="s">
        <v>411</v>
      </c>
      <c r="D99" s="373" t="s">
        <v>396</v>
      </c>
      <c r="E99" s="375">
        <v>2.5</v>
      </c>
      <c r="F99" s="375">
        <v>13</v>
      </c>
      <c r="G99" s="375">
        <v>3.3</v>
      </c>
      <c r="H99" s="375">
        <v>4.4000000000000004</v>
      </c>
      <c r="I99" s="375">
        <v>6.3</v>
      </c>
      <c r="J99" s="377" t="str">
        <f t="shared" si="5"/>
        <v>tolerant</v>
      </c>
      <c r="L99" s="31">
        <f t="shared" si="6"/>
        <v>3.3</v>
      </c>
    </row>
    <row r="100" spans="1:12" s="31" customFormat="1">
      <c r="A100" s="162"/>
      <c r="B100" s="376" t="s">
        <v>401</v>
      </c>
      <c r="C100" s="374" t="s">
        <v>402</v>
      </c>
      <c r="D100" s="373" t="s">
        <v>396</v>
      </c>
      <c r="E100" s="375">
        <v>2.8</v>
      </c>
      <c r="F100" s="375">
        <v>9.1</v>
      </c>
      <c r="G100" s="375">
        <v>3.9</v>
      </c>
      <c r="H100" s="375">
        <v>5.5</v>
      </c>
      <c r="I100" s="375">
        <v>8.3000000000000007</v>
      </c>
      <c r="J100" s="377" t="str">
        <f t="shared" si="5"/>
        <v>tolerant</v>
      </c>
      <c r="L100" s="31">
        <f t="shared" si="6"/>
        <v>3.9</v>
      </c>
    </row>
    <row r="101" spans="1:12" s="31" customFormat="1">
      <c r="A101" s="162"/>
      <c r="B101" s="376" t="s">
        <v>380</v>
      </c>
      <c r="C101" s="374" t="s">
        <v>381</v>
      </c>
      <c r="D101" s="373" t="s">
        <v>305</v>
      </c>
      <c r="E101" s="375">
        <v>2.8</v>
      </c>
      <c r="F101" s="375">
        <v>4.3</v>
      </c>
      <c r="G101" s="375">
        <v>5.0999999999999996</v>
      </c>
      <c r="H101" s="375">
        <v>8.6</v>
      </c>
      <c r="I101" s="375">
        <v>14.4</v>
      </c>
      <c r="J101" s="377" t="str">
        <f t="shared" si="5"/>
        <v>tolerant</v>
      </c>
      <c r="L101" s="31">
        <f t="shared" si="6"/>
        <v>5.0999999999999996</v>
      </c>
    </row>
    <row r="102" spans="1:12" s="31" customFormat="1">
      <c r="A102" s="162"/>
      <c r="B102" s="376" t="s">
        <v>348</v>
      </c>
      <c r="C102" s="374" t="s">
        <v>349</v>
      </c>
      <c r="D102" s="373" t="s">
        <v>305</v>
      </c>
      <c r="E102" s="375">
        <v>3</v>
      </c>
      <c r="F102" s="375">
        <v>15.6</v>
      </c>
      <c r="G102" s="375">
        <v>3.6</v>
      </c>
      <c r="H102" s="375">
        <v>4.5999999999999996</v>
      </c>
      <c r="I102" s="375">
        <v>6.2</v>
      </c>
      <c r="J102" s="377" t="str">
        <f t="shared" si="5"/>
        <v>tolerant</v>
      </c>
      <c r="L102" s="31">
        <f t="shared" si="6"/>
        <v>3.6</v>
      </c>
    </row>
    <row r="103" spans="1:12" s="31" customFormat="1">
      <c r="A103" s="162"/>
      <c r="B103" s="376" t="s">
        <v>308</v>
      </c>
      <c r="C103" s="374" t="s">
        <v>309</v>
      </c>
      <c r="D103" s="373" t="s">
        <v>305</v>
      </c>
      <c r="E103" s="375">
        <v>3</v>
      </c>
      <c r="F103" s="375">
        <v>14.6</v>
      </c>
      <c r="G103" s="375">
        <v>3.7</v>
      </c>
      <c r="H103" s="375">
        <v>4.7</v>
      </c>
      <c r="I103" s="375">
        <v>6.4</v>
      </c>
      <c r="J103" s="377" t="str">
        <f t="shared" ref="J103:J134" si="7">IF(ISNUMBER(G103),IF(AND(G103&gt;=0,G103&lt;0.65),"sensitive",IF(AND(G103&gt;=0.65,G103&lt;1.3),"moderately sensitive",IF(AND(G103&gt;=1.3,G103&lt;2.9),"moderately tolerant",IF(AND(G103&gt;=2.9,G103&lt;5.2),"tolerant",IF(AND(G103&gt;=5.2,G103&lt;8.1),"very tolerant",IF(G103&gt;=8.1,"very highly tolerant")))))),IF(AND(ISNUMBER(E103),(OR(ISTEXT(G103),ISBLANK(G103)))),IF(AND(E103&gt;=0,E103&lt;0.65),"sensitive",IF(AND(E103&gt;=0.65,E103&lt;1.3),"moderately sensitive",IF(AND(E103&gt;=1.3,E103&lt;2.9),"moderately tolerant",IF(AND(E103&gt;=2.9,E103&lt;5.2),"tolerant",IF(AND(E103&gt;=5.2,E103&lt;8.1),"very tolerant",IF(E103&gt;=8.1,"very highly tolerant",""))))))))</f>
        <v>tolerant</v>
      </c>
      <c r="L103" s="31">
        <f t="shared" si="6"/>
        <v>3.7</v>
      </c>
    </row>
    <row r="104" spans="1:12" s="31" customFormat="1">
      <c r="A104" s="162"/>
      <c r="B104" s="376" t="s">
        <v>188</v>
      </c>
      <c r="C104" s="374" t="s">
        <v>189</v>
      </c>
      <c r="D104" s="373" t="s">
        <v>171</v>
      </c>
      <c r="E104" s="375">
        <v>3</v>
      </c>
      <c r="F104" s="375">
        <v>12.2</v>
      </c>
      <c r="G104" s="375">
        <v>3.8</v>
      </c>
      <c r="H104" s="375">
        <v>5.0999999999999996</v>
      </c>
      <c r="I104" s="375">
        <v>7.1</v>
      </c>
      <c r="J104" s="377" t="str">
        <f t="shared" si="7"/>
        <v>tolerant</v>
      </c>
      <c r="L104" s="31">
        <f t="shared" si="6"/>
        <v>3.8</v>
      </c>
    </row>
    <row r="105" spans="1:12" s="31" customFormat="1">
      <c r="A105" s="162"/>
      <c r="B105" s="376" t="s">
        <v>384</v>
      </c>
      <c r="C105" s="374" t="s">
        <v>385</v>
      </c>
      <c r="D105" s="373" t="s">
        <v>305</v>
      </c>
      <c r="E105" s="375">
        <v>3</v>
      </c>
      <c r="F105" s="375">
        <v>11.1</v>
      </c>
      <c r="G105" s="375">
        <v>3.9</v>
      </c>
      <c r="H105" s="375">
        <v>5.3</v>
      </c>
      <c r="I105" s="375">
        <v>7.5</v>
      </c>
      <c r="J105" s="377" t="str">
        <f t="shared" si="7"/>
        <v>tolerant</v>
      </c>
      <c r="L105" s="31">
        <f t="shared" si="6"/>
        <v>3.9</v>
      </c>
    </row>
    <row r="106" spans="1:12" s="31" customFormat="1">
      <c r="A106" s="162"/>
      <c r="B106" s="376" t="s">
        <v>344</v>
      </c>
      <c r="C106" s="374" t="s">
        <v>345</v>
      </c>
      <c r="D106" s="373" t="s">
        <v>305</v>
      </c>
      <c r="E106" s="375">
        <v>3</v>
      </c>
      <c r="F106" s="375">
        <v>6.9</v>
      </c>
      <c r="G106" s="375">
        <v>4.4000000000000004</v>
      </c>
      <c r="H106" s="375">
        <v>6.6</v>
      </c>
      <c r="I106" s="375">
        <v>10.199999999999999</v>
      </c>
      <c r="J106" s="377" t="str">
        <f t="shared" si="7"/>
        <v>tolerant</v>
      </c>
      <c r="L106" s="31">
        <f t="shared" si="6"/>
        <v>4.4000000000000004</v>
      </c>
    </row>
    <row r="107" spans="1:12" s="31" customFormat="1">
      <c r="A107" s="162"/>
      <c r="B107" s="376" t="s">
        <v>346</v>
      </c>
      <c r="C107" s="374" t="s">
        <v>347</v>
      </c>
      <c r="D107" s="373" t="s">
        <v>305</v>
      </c>
      <c r="E107" s="375">
        <v>3</v>
      </c>
      <c r="F107" s="375">
        <v>3</v>
      </c>
      <c r="G107" s="375">
        <v>6.3</v>
      </c>
      <c r="H107" s="375">
        <v>11.3</v>
      </c>
      <c r="I107" s="375">
        <v>19.7</v>
      </c>
      <c r="J107" s="377" t="str">
        <f t="shared" si="7"/>
        <v>very tolerant</v>
      </c>
      <c r="L107" s="31">
        <f t="shared" si="6"/>
        <v>6.3</v>
      </c>
    </row>
    <row r="108" spans="1:12" s="31" customFormat="1">
      <c r="A108" s="162"/>
      <c r="B108" s="376" t="s">
        <v>184</v>
      </c>
      <c r="C108" s="374" t="s">
        <v>185</v>
      </c>
      <c r="D108" s="373" t="s">
        <v>171</v>
      </c>
      <c r="E108" s="375">
        <v>3.2</v>
      </c>
      <c r="F108" s="375">
        <v>29.4</v>
      </c>
      <c r="G108" s="375">
        <v>3.5</v>
      </c>
      <c r="H108" s="375">
        <v>4.0999999999999996</v>
      </c>
      <c r="I108" s="375">
        <v>4.9000000000000004</v>
      </c>
      <c r="J108" s="377" t="str">
        <f t="shared" si="7"/>
        <v>tolerant</v>
      </c>
      <c r="L108" s="31">
        <f t="shared" si="6"/>
        <v>3.5</v>
      </c>
    </row>
    <row r="109" spans="1:12" s="31" customFormat="1">
      <c r="A109" s="162"/>
      <c r="B109" s="376" t="s">
        <v>237</v>
      </c>
      <c r="C109" s="374" t="s">
        <v>238</v>
      </c>
      <c r="D109" s="373" t="s">
        <v>206</v>
      </c>
      <c r="E109" s="375">
        <v>3.2</v>
      </c>
      <c r="F109" s="375">
        <v>18.8</v>
      </c>
      <c r="G109" s="375">
        <v>3.7</v>
      </c>
      <c r="H109" s="375">
        <v>4.5</v>
      </c>
      <c r="I109" s="375">
        <v>5.9</v>
      </c>
      <c r="J109" s="377" t="str">
        <f t="shared" si="7"/>
        <v>tolerant</v>
      </c>
      <c r="L109" s="31">
        <f t="shared" si="6"/>
        <v>3.7</v>
      </c>
    </row>
    <row r="110" spans="1:12" s="31" customFormat="1">
      <c r="A110" s="162"/>
      <c r="B110" s="376" t="s">
        <v>428</v>
      </c>
      <c r="C110" s="374" t="s">
        <v>429</v>
      </c>
      <c r="D110" s="373" t="s">
        <v>396</v>
      </c>
      <c r="E110" s="375">
        <v>3.2</v>
      </c>
      <c r="F110" s="375">
        <v>16</v>
      </c>
      <c r="G110" s="375">
        <v>3.8</v>
      </c>
      <c r="H110" s="375">
        <v>4.8</v>
      </c>
      <c r="I110" s="375">
        <v>6.3</v>
      </c>
      <c r="J110" s="377" t="str">
        <f t="shared" si="7"/>
        <v>tolerant</v>
      </c>
      <c r="L110" s="31">
        <f t="shared" si="6"/>
        <v>3.8</v>
      </c>
    </row>
    <row r="111" spans="1:12" s="31" customFormat="1">
      <c r="A111" s="162"/>
      <c r="B111" s="376" t="s">
        <v>390</v>
      </c>
      <c r="C111" s="374" t="s">
        <v>391</v>
      </c>
      <c r="D111" s="373" t="s">
        <v>305</v>
      </c>
      <c r="E111" s="375">
        <v>3.5</v>
      </c>
      <c r="F111" s="375">
        <v>4</v>
      </c>
      <c r="G111" s="375">
        <v>6</v>
      </c>
      <c r="H111" s="375">
        <v>9.8000000000000007</v>
      </c>
      <c r="I111" s="375">
        <v>16</v>
      </c>
      <c r="J111" s="377" t="str">
        <f t="shared" si="7"/>
        <v>very tolerant</v>
      </c>
      <c r="L111" s="31">
        <f t="shared" si="6"/>
        <v>6</v>
      </c>
    </row>
    <row r="112" spans="1:12" s="31" customFormat="1">
      <c r="A112" s="162"/>
      <c r="B112" s="376" t="s">
        <v>340</v>
      </c>
      <c r="C112" s="374" t="s">
        <v>341</v>
      </c>
      <c r="D112" s="373" t="s">
        <v>305</v>
      </c>
      <c r="E112" s="375">
        <v>3.9</v>
      </c>
      <c r="F112" s="375">
        <v>5.3</v>
      </c>
      <c r="G112" s="375">
        <v>5.8</v>
      </c>
      <c r="H112" s="375">
        <v>8.6</v>
      </c>
      <c r="I112" s="375">
        <v>13.3</v>
      </c>
      <c r="J112" s="377" t="str">
        <f t="shared" si="7"/>
        <v>very tolerant</v>
      </c>
      <c r="L112" s="31">
        <f t="shared" si="6"/>
        <v>5.8</v>
      </c>
    </row>
    <row r="113" spans="1:12" s="31" customFormat="1">
      <c r="A113" s="162"/>
      <c r="B113" s="376" t="s">
        <v>233</v>
      </c>
      <c r="C113" s="374" t="s">
        <v>234</v>
      </c>
      <c r="D113" s="373" t="s">
        <v>206</v>
      </c>
      <c r="E113" s="375">
        <v>4</v>
      </c>
      <c r="F113" s="375"/>
      <c r="G113" s="375"/>
      <c r="H113" s="375"/>
      <c r="I113" s="375"/>
      <c r="J113" s="377" t="str">
        <f t="shared" si="7"/>
        <v>tolerant</v>
      </c>
      <c r="L113" s="31">
        <f t="shared" si="6"/>
        <v>4</v>
      </c>
    </row>
    <row r="114" spans="1:12" s="31" customFormat="1">
      <c r="A114" s="162"/>
      <c r="B114" s="376" t="s">
        <v>244</v>
      </c>
      <c r="C114" s="374" t="s">
        <v>245</v>
      </c>
      <c r="D114" s="373" t="s">
        <v>206</v>
      </c>
      <c r="E114" s="375">
        <v>4</v>
      </c>
      <c r="F114" s="375"/>
      <c r="G114" s="375"/>
      <c r="H114" s="375"/>
      <c r="I114" s="375"/>
      <c r="J114" s="377" t="str">
        <f t="shared" si="7"/>
        <v>tolerant</v>
      </c>
      <c r="L114" s="31">
        <f t="shared" si="6"/>
        <v>4</v>
      </c>
    </row>
    <row r="115" spans="1:12" s="31" customFormat="1">
      <c r="A115" s="162"/>
      <c r="B115" s="376" t="s">
        <v>253</v>
      </c>
      <c r="C115" s="374" t="s">
        <v>254</v>
      </c>
      <c r="D115" s="373" t="s">
        <v>252</v>
      </c>
      <c r="E115" s="375">
        <v>4</v>
      </c>
      <c r="F115" s="375">
        <v>9</v>
      </c>
      <c r="G115" s="375">
        <v>5.0999999999999996</v>
      </c>
      <c r="H115" s="375">
        <v>6.8</v>
      </c>
      <c r="I115" s="375">
        <v>9.6</v>
      </c>
      <c r="J115" s="377" t="str">
        <f t="shared" si="7"/>
        <v>tolerant</v>
      </c>
      <c r="L115" s="31">
        <f t="shared" si="6"/>
        <v>5.0999999999999996</v>
      </c>
    </row>
    <row r="116" spans="1:12" s="31" customFormat="1">
      <c r="A116" s="162"/>
      <c r="B116" s="376" t="s">
        <v>277</v>
      </c>
      <c r="C116" s="374" t="s">
        <v>278</v>
      </c>
      <c r="D116" s="373" t="s">
        <v>262</v>
      </c>
      <c r="E116" s="375">
        <v>4</v>
      </c>
      <c r="F116" s="375">
        <v>9.1</v>
      </c>
      <c r="G116" s="375">
        <v>5.0999999999999996</v>
      </c>
      <c r="H116" s="375">
        <v>6.7</v>
      </c>
      <c r="I116" s="375">
        <v>9.5</v>
      </c>
      <c r="J116" s="377" t="str">
        <f t="shared" si="7"/>
        <v>tolerant</v>
      </c>
      <c r="L116" s="31">
        <f t="shared" si="6"/>
        <v>5.0999999999999996</v>
      </c>
    </row>
    <row r="117" spans="1:12" s="31" customFormat="1">
      <c r="A117" s="162"/>
      <c r="B117" s="376" t="s">
        <v>219</v>
      </c>
      <c r="C117" s="374" t="s">
        <v>220</v>
      </c>
      <c r="D117" s="373" t="s">
        <v>206</v>
      </c>
      <c r="E117" s="375">
        <v>4</v>
      </c>
      <c r="F117" s="375">
        <v>3.4</v>
      </c>
      <c r="G117" s="375">
        <v>6.9</v>
      </c>
      <c r="H117" s="375">
        <v>11.4</v>
      </c>
      <c r="I117" s="375">
        <v>18.7</v>
      </c>
      <c r="J117" s="377" t="str">
        <f t="shared" si="7"/>
        <v>very tolerant</v>
      </c>
      <c r="L117" s="31">
        <f t="shared" si="6"/>
        <v>6.9</v>
      </c>
    </row>
    <row r="118" spans="1:12" s="31" customFormat="1">
      <c r="A118" s="162"/>
      <c r="B118" s="376" t="s">
        <v>221</v>
      </c>
      <c r="C118" s="374" t="s">
        <v>222</v>
      </c>
      <c r="D118" s="373" t="s">
        <v>206</v>
      </c>
      <c r="E118" s="375">
        <v>4.2</v>
      </c>
      <c r="F118" s="375"/>
      <c r="G118" s="375"/>
      <c r="H118" s="375"/>
      <c r="I118" s="375"/>
      <c r="J118" s="377" t="str">
        <f t="shared" si="7"/>
        <v>tolerant</v>
      </c>
      <c r="L118" s="31">
        <f t="shared" si="6"/>
        <v>4.2</v>
      </c>
    </row>
    <row r="119" spans="1:12" s="31" customFormat="1">
      <c r="A119" s="162"/>
      <c r="B119" s="376" t="s">
        <v>366</v>
      </c>
      <c r="C119" s="374" t="s">
        <v>367</v>
      </c>
      <c r="D119" s="373" t="s">
        <v>305</v>
      </c>
      <c r="E119" s="375">
        <v>4.2</v>
      </c>
      <c r="F119" s="375"/>
      <c r="G119" s="375"/>
      <c r="H119" s="375"/>
      <c r="I119" s="375"/>
      <c r="J119" s="377" t="str">
        <f t="shared" si="7"/>
        <v>tolerant</v>
      </c>
      <c r="L119" s="31">
        <f t="shared" si="6"/>
        <v>4.2</v>
      </c>
    </row>
    <row r="120" spans="1:12" s="31" customFormat="1">
      <c r="A120" s="162"/>
      <c r="B120" s="376" t="s">
        <v>422</v>
      </c>
      <c r="C120" s="374" t="s">
        <v>423</v>
      </c>
      <c r="D120" s="373" t="s">
        <v>396</v>
      </c>
      <c r="E120" s="375">
        <v>4.5</v>
      </c>
      <c r="F120" s="375"/>
      <c r="G120" s="375"/>
      <c r="H120" s="375"/>
      <c r="I120" s="375"/>
      <c r="J120" s="377" t="str">
        <f t="shared" si="7"/>
        <v>tolerant</v>
      </c>
      <c r="L120" s="31">
        <f t="shared" si="6"/>
        <v>4.5</v>
      </c>
    </row>
    <row r="121" spans="1:12" s="31" customFormat="1">
      <c r="A121" s="162"/>
      <c r="B121" s="376" t="s">
        <v>434</v>
      </c>
      <c r="C121" s="374" t="s">
        <v>429</v>
      </c>
      <c r="D121" s="373" t="s">
        <v>396</v>
      </c>
      <c r="E121" s="375">
        <v>4.7</v>
      </c>
      <c r="F121" s="375">
        <v>9.4</v>
      </c>
      <c r="G121" s="375">
        <v>5.8</v>
      </c>
      <c r="H121" s="375">
        <v>7.4</v>
      </c>
      <c r="I121" s="375">
        <v>10</v>
      </c>
      <c r="J121" s="377" t="str">
        <f t="shared" si="7"/>
        <v>very tolerant</v>
      </c>
      <c r="L121" s="31">
        <f t="shared" si="6"/>
        <v>5.8</v>
      </c>
    </row>
    <row r="122" spans="1:12" s="31" customFormat="1">
      <c r="A122" s="162"/>
      <c r="B122" s="376" t="s">
        <v>182</v>
      </c>
      <c r="C122" s="374" t="s">
        <v>183</v>
      </c>
      <c r="D122" s="373" t="s">
        <v>171</v>
      </c>
      <c r="E122" s="375">
        <v>5</v>
      </c>
      <c r="F122" s="375">
        <v>20</v>
      </c>
      <c r="G122" s="375">
        <v>5.5</v>
      </c>
      <c r="H122" s="375">
        <v>6.3</v>
      </c>
      <c r="I122" s="375">
        <v>7.5</v>
      </c>
      <c r="J122" s="377" t="str">
        <f t="shared" si="7"/>
        <v>very tolerant</v>
      </c>
      <c r="L122" s="31">
        <f t="shared" ref="L122:L146" si="8">IF(ISNUMBER(G122),G122,IF(ISNUMBER(E122),E122,""))</f>
        <v>5.5</v>
      </c>
    </row>
    <row r="123" spans="1:12" s="31" customFormat="1">
      <c r="A123" s="162"/>
      <c r="B123" s="376" t="s">
        <v>196</v>
      </c>
      <c r="C123" s="374" t="s">
        <v>197</v>
      </c>
      <c r="D123" s="373" t="s">
        <v>171</v>
      </c>
      <c r="E123" s="375">
        <v>5</v>
      </c>
      <c r="F123" s="375">
        <v>20</v>
      </c>
      <c r="G123" s="375">
        <v>5.5</v>
      </c>
      <c r="H123" s="375">
        <v>6.3</v>
      </c>
      <c r="I123" s="375">
        <v>7.5</v>
      </c>
      <c r="J123" s="377" t="str">
        <f t="shared" si="7"/>
        <v>very tolerant</v>
      </c>
      <c r="L123" s="31">
        <f t="shared" si="8"/>
        <v>5.5</v>
      </c>
    </row>
    <row r="124" spans="1:12" s="31" customFormat="1">
      <c r="A124" s="162"/>
      <c r="B124" s="376" t="s">
        <v>386</v>
      </c>
      <c r="C124" s="374" t="s">
        <v>387</v>
      </c>
      <c r="D124" s="373" t="s">
        <v>305</v>
      </c>
      <c r="E124" s="375">
        <v>5</v>
      </c>
      <c r="F124" s="375">
        <v>10</v>
      </c>
      <c r="G124" s="375">
        <v>6</v>
      </c>
      <c r="H124" s="375">
        <v>7.5</v>
      </c>
      <c r="I124" s="375">
        <v>10</v>
      </c>
      <c r="J124" s="377" t="str">
        <f t="shared" si="7"/>
        <v>very tolerant</v>
      </c>
      <c r="L124" s="31">
        <f t="shared" si="8"/>
        <v>6</v>
      </c>
    </row>
    <row r="125" spans="1:12" s="31" customFormat="1">
      <c r="A125" s="162"/>
      <c r="B125" s="376" t="s">
        <v>200</v>
      </c>
      <c r="C125" s="374" t="s">
        <v>201</v>
      </c>
      <c r="D125" s="373" t="s">
        <v>171</v>
      </c>
      <c r="E125" s="375">
        <v>5.5</v>
      </c>
      <c r="F125" s="375">
        <v>25</v>
      </c>
      <c r="G125" s="375">
        <v>5.9</v>
      </c>
      <c r="H125" s="375">
        <v>6.5</v>
      </c>
      <c r="I125" s="375">
        <v>7.5</v>
      </c>
      <c r="J125" s="377" t="str">
        <f t="shared" si="7"/>
        <v>very tolerant</v>
      </c>
      <c r="L125" s="31">
        <f t="shared" si="8"/>
        <v>5.9</v>
      </c>
    </row>
    <row r="126" spans="1:12" s="31" customFormat="1">
      <c r="A126" s="162"/>
      <c r="B126" s="376" t="s">
        <v>311</v>
      </c>
      <c r="C126" s="374" t="s">
        <v>312</v>
      </c>
      <c r="D126" s="373" t="s">
        <v>305</v>
      </c>
      <c r="E126" s="375">
        <v>5.5</v>
      </c>
      <c r="F126" s="375">
        <v>10.3</v>
      </c>
      <c r="G126" s="375">
        <v>6.5</v>
      </c>
      <c r="H126" s="375">
        <v>7.9</v>
      </c>
      <c r="I126" s="375">
        <v>10.4</v>
      </c>
      <c r="J126" s="377" t="str">
        <f t="shared" si="7"/>
        <v>very tolerant</v>
      </c>
      <c r="L126" s="31">
        <f t="shared" si="8"/>
        <v>6.5</v>
      </c>
    </row>
    <row r="127" spans="1:12" s="31" customFormat="1">
      <c r="A127" s="162"/>
      <c r="B127" s="376" t="s">
        <v>204</v>
      </c>
      <c r="C127" s="374" t="s">
        <v>205</v>
      </c>
      <c r="D127" s="373" t="s">
        <v>171</v>
      </c>
      <c r="E127" s="375">
        <v>5.7</v>
      </c>
      <c r="F127" s="375">
        <v>5.4</v>
      </c>
      <c r="G127" s="375">
        <v>7.6</v>
      </c>
      <c r="H127" s="375">
        <v>10.3</v>
      </c>
      <c r="I127" s="375">
        <v>15</v>
      </c>
      <c r="J127" s="377" t="str">
        <f t="shared" si="7"/>
        <v>very tolerant</v>
      </c>
      <c r="L127" s="31">
        <f t="shared" si="8"/>
        <v>7.6</v>
      </c>
    </row>
    <row r="128" spans="1:12" s="31" customFormat="1">
      <c r="A128" s="162"/>
      <c r="B128" s="376" t="s">
        <v>231</v>
      </c>
      <c r="C128" s="374" t="s">
        <v>232</v>
      </c>
      <c r="D128" s="373" t="s">
        <v>206</v>
      </c>
      <c r="E128" s="375">
        <v>6</v>
      </c>
      <c r="F128" s="375"/>
      <c r="G128" s="375"/>
      <c r="H128" s="375"/>
      <c r="I128" s="375"/>
      <c r="J128" s="377" t="str">
        <f t="shared" si="7"/>
        <v>very tolerant</v>
      </c>
      <c r="L128" s="31">
        <f t="shared" si="8"/>
        <v>6</v>
      </c>
    </row>
    <row r="129" spans="1:12" s="31" customFormat="1">
      <c r="A129" s="162"/>
      <c r="B129" s="376" t="s">
        <v>202</v>
      </c>
      <c r="C129" s="374" t="s">
        <v>203</v>
      </c>
      <c r="D129" s="373" t="s">
        <v>171</v>
      </c>
      <c r="E129" s="375">
        <v>6</v>
      </c>
      <c r="F129" s="375">
        <v>7.1</v>
      </c>
      <c r="G129" s="375">
        <v>7.4</v>
      </c>
      <c r="H129" s="375">
        <v>9.5</v>
      </c>
      <c r="I129" s="375">
        <v>13</v>
      </c>
      <c r="J129" s="377" t="str">
        <f t="shared" si="7"/>
        <v>very tolerant</v>
      </c>
      <c r="L129" s="31">
        <f t="shared" si="8"/>
        <v>7.4</v>
      </c>
    </row>
    <row r="130" spans="1:12" s="31" customFormat="1">
      <c r="A130" s="162"/>
      <c r="B130" s="376" t="s">
        <v>306</v>
      </c>
      <c r="C130" s="374" t="s">
        <v>162</v>
      </c>
      <c r="D130" s="373" t="s">
        <v>305</v>
      </c>
      <c r="E130" s="375">
        <v>6</v>
      </c>
      <c r="F130" s="375">
        <v>7</v>
      </c>
      <c r="G130" s="375">
        <v>7.4</v>
      </c>
      <c r="H130" s="375">
        <v>9.6</v>
      </c>
      <c r="I130" s="375">
        <v>13.1</v>
      </c>
      <c r="J130" s="377" t="str">
        <f t="shared" si="7"/>
        <v>very tolerant</v>
      </c>
      <c r="L130" s="31">
        <f t="shared" si="8"/>
        <v>7.4</v>
      </c>
    </row>
    <row r="131" spans="1:12" s="31" customFormat="1">
      <c r="A131" s="162"/>
      <c r="B131" s="376" t="s">
        <v>307</v>
      </c>
      <c r="C131" s="374" t="s">
        <v>162</v>
      </c>
      <c r="D131" s="373" t="s">
        <v>305</v>
      </c>
      <c r="E131" s="375">
        <v>6</v>
      </c>
      <c r="F131" s="375">
        <v>7.1</v>
      </c>
      <c r="G131" s="375">
        <v>7.4</v>
      </c>
      <c r="H131" s="375">
        <v>9.5</v>
      </c>
      <c r="I131" s="375">
        <v>13</v>
      </c>
      <c r="J131" s="377" t="str">
        <f t="shared" si="7"/>
        <v>very tolerant</v>
      </c>
      <c r="L131" s="31">
        <f t="shared" si="8"/>
        <v>7.4</v>
      </c>
    </row>
    <row r="132" spans="1:12" s="31" customFormat="1">
      <c r="A132" s="162"/>
      <c r="B132" s="376" t="s">
        <v>313</v>
      </c>
      <c r="C132" s="374" t="s">
        <v>314</v>
      </c>
      <c r="D132" s="373" t="s">
        <v>305</v>
      </c>
      <c r="E132" s="375">
        <v>6</v>
      </c>
      <c r="F132" s="375">
        <v>6.8</v>
      </c>
      <c r="G132" s="375">
        <v>7.5</v>
      </c>
      <c r="H132" s="375">
        <v>9.6999999999999993</v>
      </c>
      <c r="I132" s="375">
        <v>13.4</v>
      </c>
      <c r="J132" s="377" t="str">
        <f t="shared" si="7"/>
        <v>very tolerant</v>
      </c>
      <c r="L132" s="31">
        <f t="shared" si="8"/>
        <v>7.5</v>
      </c>
    </row>
    <row r="133" spans="1:12" s="31" customFormat="1">
      <c r="A133" s="162"/>
      <c r="B133" s="376" t="s">
        <v>190</v>
      </c>
      <c r="C133" s="374" t="s">
        <v>191</v>
      </c>
      <c r="D133" s="373" t="s">
        <v>171</v>
      </c>
      <c r="E133" s="375">
        <v>6.5</v>
      </c>
      <c r="F133" s="375"/>
      <c r="G133" s="375"/>
      <c r="H133" s="375"/>
      <c r="I133" s="375"/>
      <c r="J133" s="377" t="str">
        <f t="shared" si="7"/>
        <v>very tolerant</v>
      </c>
      <c r="L133" s="31">
        <f t="shared" si="8"/>
        <v>6.5</v>
      </c>
    </row>
    <row r="134" spans="1:12" s="31" customFormat="1">
      <c r="A134" s="162"/>
      <c r="B134" s="376" t="s">
        <v>414</v>
      </c>
      <c r="C134" s="374" t="s">
        <v>415</v>
      </c>
      <c r="D134" s="373" t="s">
        <v>396</v>
      </c>
      <c r="E134" s="375">
        <v>6.5</v>
      </c>
      <c r="F134" s="375"/>
      <c r="G134" s="375"/>
      <c r="H134" s="375"/>
      <c r="I134" s="375"/>
      <c r="J134" s="377" t="str">
        <f t="shared" si="7"/>
        <v>very tolerant</v>
      </c>
      <c r="L134" s="31">
        <f t="shared" si="8"/>
        <v>6.5</v>
      </c>
    </row>
    <row r="135" spans="1:12" s="31" customFormat="1">
      <c r="A135" s="162"/>
      <c r="B135" s="376" t="s">
        <v>192</v>
      </c>
      <c r="C135" s="374" t="s">
        <v>193</v>
      </c>
      <c r="D135" s="373" t="s">
        <v>171</v>
      </c>
      <c r="E135" s="375">
        <v>6.8</v>
      </c>
      <c r="F135" s="375">
        <v>15.9</v>
      </c>
      <c r="G135" s="375">
        <v>7.4</v>
      </c>
      <c r="H135" s="375">
        <v>8.4</v>
      </c>
      <c r="I135" s="375">
        <v>9.9</v>
      </c>
      <c r="J135" s="377" t="str">
        <f t="shared" ref="J135:J146" si="9">IF(ISNUMBER(G135),IF(AND(G135&gt;=0,G135&lt;0.65),"sensitive",IF(AND(G135&gt;=0.65,G135&lt;1.3),"moderately sensitive",IF(AND(G135&gt;=1.3,G135&lt;2.9),"moderately tolerant",IF(AND(G135&gt;=2.9,G135&lt;5.2),"tolerant",IF(AND(G135&gt;=5.2,G135&lt;8.1),"very tolerant",IF(G135&gt;=8.1,"very highly tolerant")))))),IF(AND(ISNUMBER(E135),(OR(ISTEXT(G135),ISBLANK(G135)))),IF(AND(E135&gt;=0,E135&lt;0.65),"sensitive",IF(AND(E135&gt;=0.65,E135&lt;1.3),"moderately sensitive",IF(AND(E135&gt;=1.3,E135&lt;2.9),"moderately tolerant",IF(AND(E135&gt;=2.9,E135&lt;5.2),"tolerant",IF(AND(E135&gt;=5.2,E135&lt;8.1),"very tolerant",IF(E135&gt;=8.1,"very highly tolerant",""))))))))</f>
        <v>very tolerant</v>
      </c>
      <c r="L135" s="31">
        <f t="shared" si="8"/>
        <v>7.4</v>
      </c>
    </row>
    <row r="136" spans="1:12" s="31" customFormat="1">
      <c r="A136" s="162"/>
      <c r="B136" s="376" t="s">
        <v>329</v>
      </c>
      <c r="C136" s="374" t="s">
        <v>330</v>
      </c>
      <c r="D136" s="373" t="s">
        <v>305</v>
      </c>
      <c r="E136" s="375">
        <v>6.9</v>
      </c>
      <c r="F136" s="375">
        <v>6.4</v>
      </c>
      <c r="G136" s="375">
        <v>8.5</v>
      </c>
      <c r="H136" s="375">
        <v>10.8</v>
      </c>
      <c r="I136" s="375">
        <v>14.7</v>
      </c>
      <c r="J136" s="377" t="str">
        <f t="shared" si="9"/>
        <v>very highly tolerant</v>
      </c>
      <c r="L136" s="31">
        <f t="shared" si="8"/>
        <v>8.5</v>
      </c>
    </row>
    <row r="137" spans="1:12" s="31" customFormat="1">
      <c r="A137" s="162"/>
      <c r="B137" s="376" t="s">
        <v>279</v>
      </c>
      <c r="C137" s="374" t="s">
        <v>280</v>
      </c>
      <c r="D137" s="373" t="s">
        <v>262</v>
      </c>
      <c r="E137" s="375">
        <v>7</v>
      </c>
      <c r="F137" s="375"/>
      <c r="G137" s="375"/>
      <c r="H137" s="375"/>
      <c r="I137" s="375"/>
      <c r="J137" s="377" t="str">
        <f t="shared" si="9"/>
        <v>very tolerant</v>
      </c>
      <c r="L137" s="31">
        <f t="shared" si="8"/>
        <v>7</v>
      </c>
    </row>
    <row r="138" spans="1:12" s="31" customFormat="1">
      <c r="A138" s="162"/>
      <c r="B138" s="376" t="s">
        <v>255</v>
      </c>
      <c r="C138" s="374" t="s">
        <v>254</v>
      </c>
      <c r="D138" s="373" t="s">
        <v>252</v>
      </c>
      <c r="E138" s="375">
        <v>7</v>
      </c>
      <c r="F138" s="375">
        <v>5.9</v>
      </c>
      <c r="G138" s="375">
        <v>8.6999999999999993</v>
      </c>
      <c r="H138" s="375">
        <v>11.2</v>
      </c>
      <c r="I138" s="375">
        <v>15.5</v>
      </c>
      <c r="J138" s="377" t="str">
        <f t="shared" si="9"/>
        <v>very highly tolerant</v>
      </c>
      <c r="L138" s="31">
        <f t="shared" si="8"/>
        <v>8.6999999999999993</v>
      </c>
    </row>
    <row r="139" spans="1:12" s="31" customFormat="1">
      <c r="A139" s="162"/>
      <c r="B139" s="376" t="s">
        <v>368</v>
      </c>
      <c r="C139" s="374" t="s">
        <v>369</v>
      </c>
      <c r="D139" s="373" t="s">
        <v>305</v>
      </c>
      <c r="E139" s="375">
        <v>7</v>
      </c>
      <c r="F139" s="375">
        <v>3.2</v>
      </c>
      <c r="G139" s="375">
        <v>10.1</v>
      </c>
      <c r="H139" s="375">
        <v>14.8</v>
      </c>
      <c r="I139" s="375">
        <v>22.6</v>
      </c>
      <c r="J139" s="377" t="str">
        <f t="shared" si="9"/>
        <v>very highly tolerant</v>
      </c>
      <c r="L139" s="31">
        <f t="shared" si="8"/>
        <v>10.1</v>
      </c>
    </row>
    <row r="140" spans="1:12" s="31" customFormat="1">
      <c r="A140" s="162"/>
      <c r="B140" s="376" t="s">
        <v>392</v>
      </c>
      <c r="C140" s="374" t="s">
        <v>393</v>
      </c>
      <c r="D140" s="373" t="s">
        <v>305</v>
      </c>
      <c r="E140" s="375">
        <v>7.5</v>
      </c>
      <c r="F140" s="375">
        <v>6.9</v>
      </c>
      <c r="G140" s="375">
        <v>8.9</v>
      </c>
      <c r="H140" s="375">
        <v>11.1</v>
      </c>
      <c r="I140" s="375">
        <v>14.7</v>
      </c>
      <c r="J140" s="377" t="str">
        <f t="shared" si="9"/>
        <v>very highly tolerant</v>
      </c>
      <c r="L140" s="31">
        <f t="shared" si="8"/>
        <v>8.9</v>
      </c>
    </row>
    <row r="141" spans="1:12" s="31" customFormat="1">
      <c r="A141" s="162"/>
      <c r="B141" s="376" t="s">
        <v>394</v>
      </c>
      <c r="C141" s="374" t="s">
        <v>395</v>
      </c>
      <c r="D141" s="373" t="s">
        <v>305</v>
      </c>
      <c r="E141" s="375">
        <v>7.5</v>
      </c>
      <c r="F141" s="375">
        <v>4.2</v>
      </c>
      <c r="G141" s="375">
        <v>9.9</v>
      </c>
      <c r="H141" s="375">
        <v>13.5</v>
      </c>
      <c r="I141" s="375">
        <v>19.399999999999999</v>
      </c>
      <c r="J141" s="377" t="str">
        <f t="shared" si="9"/>
        <v>very highly tolerant</v>
      </c>
      <c r="L141" s="31">
        <f t="shared" si="8"/>
        <v>9.9</v>
      </c>
    </row>
    <row r="142" spans="1:12" s="160" customFormat="1">
      <c r="A142" s="162"/>
      <c r="B142" s="376" t="s">
        <v>174</v>
      </c>
      <c r="C142" s="374" t="s">
        <v>175</v>
      </c>
      <c r="D142" s="373" t="s">
        <v>171</v>
      </c>
      <c r="E142" s="375">
        <v>7.7</v>
      </c>
      <c r="F142" s="375">
        <v>5.2</v>
      </c>
      <c r="G142" s="375">
        <v>9.6</v>
      </c>
      <c r="H142" s="375">
        <v>12.5</v>
      </c>
      <c r="I142" s="375">
        <v>17.3</v>
      </c>
      <c r="J142" s="377" t="str">
        <f t="shared" si="9"/>
        <v>very highly tolerant</v>
      </c>
      <c r="L142" s="160">
        <f t="shared" si="8"/>
        <v>9.6</v>
      </c>
    </row>
    <row r="143" spans="1:12" s="160" customFormat="1">
      <c r="A143" s="162"/>
      <c r="B143" s="376" t="s">
        <v>161</v>
      </c>
      <c r="C143" s="374" t="s">
        <v>162</v>
      </c>
      <c r="D143" s="373" t="s">
        <v>171</v>
      </c>
      <c r="E143" s="375">
        <v>8</v>
      </c>
      <c r="F143" s="375">
        <v>5</v>
      </c>
      <c r="G143" s="375">
        <v>10</v>
      </c>
      <c r="H143" s="375">
        <v>13</v>
      </c>
      <c r="I143" s="375">
        <v>18</v>
      </c>
      <c r="J143" s="377" t="str">
        <f t="shared" si="9"/>
        <v>very highly tolerant</v>
      </c>
      <c r="L143" s="160">
        <f t="shared" si="8"/>
        <v>10</v>
      </c>
    </row>
    <row r="144" spans="1:12" s="160" customFormat="1">
      <c r="A144" s="162"/>
      <c r="B144" s="376" t="s">
        <v>194</v>
      </c>
      <c r="C144" s="374" t="s">
        <v>195</v>
      </c>
      <c r="D144" s="373" t="s">
        <v>171</v>
      </c>
      <c r="E144" s="375">
        <v>8.3000000000000007</v>
      </c>
      <c r="F144" s="375">
        <v>11.2</v>
      </c>
      <c r="G144" s="375">
        <v>9.1999999999999993</v>
      </c>
      <c r="H144" s="375">
        <v>10.5</v>
      </c>
      <c r="I144" s="375">
        <v>12.8</v>
      </c>
      <c r="J144" s="377" t="str">
        <f t="shared" si="9"/>
        <v>very highly tolerant</v>
      </c>
      <c r="L144" s="160">
        <f t="shared" si="8"/>
        <v>9.1999999999999993</v>
      </c>
    </row>
    <row r="145" spans="1:12" s="160" customFormat="1">
      <c r="A145" s="162"/>
      <c r="B145" s="376" t="s">
        <v>271</v>
      </c>
      <c r="C145" s="374" t="s">
        <v>272</v>
      </c>
      <c r="D145" s="373" t="s">
        <v>262</v>
      </c>
      <c r="E145" s="375">
        <v>8.5</v>
      </c>
      <c r="F145" s="375"/>
      <c r="G145" s="375"/>
      <c r="H145" s="375"/>
      <c r="I145" s="375"/>
      <c r="J145" s="377" t="str">
        <f t="shared" si="9"/>
        <v>very highly tolerant</v>
      </c>
      <c r="L145" s="160">
        <f t="shared" si="8"/>
        <v>8.5</v>
      </c>
    </row>
    <row r="146" spans="1:12" s="31" customFormat="1" ht="15" thickBot="1">
      <c r="A146" s="162"/>
      <c r="B146" s="378" t="s">
        <v>388</v>
      </c>
      <c r="C146" s="379" t="s">
        <v>389</v>
      </c>
      <c r="D146" s="392" t="s">
        <v>305</v>
      </c>
      <c r="E146" s="380">
        <v>8.5</v>
      </c>
      <c r="F146" s="380">
        <v>12.4</v>
      </c>
      <c r="G146" s="380">
        <v>9.3000000000000007</v>
      </c>
      <c r="H146" s="380">
        <v>10.5</v>
      </c>
      <c r="I146" s="380">
        <v>12.5</v>
      </c>
      <c r="J146" s="381" t="str">
        <f t="shared" si="9"/>
        <v>very highly tolerant</v>
      </c>
      <c r="L146" s="31">
        <f t="shared" si="8"/>
        <v>9.3000000000000007</v>
      </c>
    </row>
  </sheetData>
  <sheetProtection algorithmName="SHA-512" hashValue="511oASgyQNYY0WGI7M047BSiH593txexS0DFHg5n9VFUNK/FdS7clxk+URdud35BeQrWoGWfS/LziyZV09gWrA==" saltValue="1FcKQ0tW1lyKNiT+QX7wKQ==" spinCount="100000" sheet="1" objects="1" scenarios="1"/>
  <sortState xmlns:xlrd2="http://schemas.microsoft.com/office/spreadsheetml/2017/richdata2" ref="A7:XFD146">
    <sortCondition ref="E7:E146"/>
  </sortState>
  <mergeCells count="2">
    <mergeCell ref="G4:I4"/>
    <mergeCell ref="G5:I5"/>
  </mergeCells>
  <hyperlinks>
    <hyperlink ref="G2" location="'Plant Salt Tolerance'!B2" display="Return to Plant Salt Tolerance Page" xr:uid="{00000000-0004-0000-0900-000000000000}"/>
  </hyperlinks>
  <pageMargins left="0.23622047244094488" right="0.23622047244094488" top="0.23622047244094488" bottom="0.23622047244094488" header="0.31496062992125984" footer="0.31496062992125984"/>
  <pageSetup paperSize="9" scale="88"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R237"/>
  <sheetViews>
    <sheetView zoomScaleNormal="100" zoomScalePageLayoutView="75" workbookViewId="0">
      <selection activeCell="B89" sqref="B89:C89"/>
    </sheetView>
  </sheetViews>
  <sheetFormatPr defaultRowHeight="14.5"/>
  <cols>
    <col min="1" max="1" width="3.453125" customWidth="1"/>
    <col min="2" max="2" width="12.1796875" customWidth="1"/>
    <col min="5" max="6" width="7.453125" customWidth="1"/>
    <col min="10" max="11" width="6.81640625" customWidth="1"/>
  </cols>
  <sheetData>
    <row r="1" spans="2:18">
      <c r="B1" s="964" t="str">
        <f>'Front Page'!C1</f>
        <v>Printed on</v>
      </c>
      <c r="C1" s="964"/>
      <c r="D1" s="965">
        <f ca="1">'Front Page'!E1</f>
        <v>44610.35418101852</v>
      </c>
      <c r="E1" s="965"/>
    </row>
    <row r="2" spans="2:18" ht="31">
      <c r="B2" s="97" t="s">
        <v>655</v>
      </c>
      <c r="J2" s="53" t="s">
        <v>654</v>
      </c>
    </row>
    <row r="3" spans="2:18">
      <c r="B3" s="501"/>
      <c r="C3" s="501"/>
      <c r="D3" s="501"/>
      <c r="E3" s="501"/>
      <c r="F3" s="501"/>
      <c r="G3" s="501"/>
      <c r="H3" s="501"/>
      <c r="I3" s="501"/>
    </row>
    <row r="4" spans="2:18">
      <c r="B4" s="1289" t="s">
        <v>1069</v>
      </c>
      <c r="C4" s="1289"/>
      <c r="D4" s="1289"/>
      <c r="E4" s="1289"/>
      <c r="F4" s="1289"/>
      <c r="G4" s="1289"/>
      <c r="H4" s="1289"/>
      <c r="I4" s="1289"/>
    </row>
    <row r="5" spans="2:18">
      <c r="B5" s="1289" t="s">
        <v>1070</v>
      </c>
      <c r="C5" s="1289"/>
      <c r="D5" s="1289"/>
      <c r="E5" s="1289"/>
      <c r="F5" s="1289"/>
      <c r="G5" s="1289"/>
      <c r="H5" s="1289"/>
      <c r="I5" s="1289"/>
    </row>
    <row r="6" spans="2:18">
      <c r="B6" s="1289" t="s">
        <v>1071</v>
      </c>
      <c r="C6" s="1289"/>
      <c r="D6" s="1289"/>
      <c r="E6" s="1289"/>
      <c r="F6" s="1289"/>
      <c r="G6" s="1289"/>
      <c r="H6" s="1289"/>
      <c r="I6" s="1289"/>
    </row>
    <row r="7" spans="2:18">
      <c r="B7" s="1289" t="s">
        <v>1149</v>
      </c>
      <c r="C7" s="1289"/>
      <c r="D7" s="1289"/>
      <c r="E7" s="1289"/>
      <c r="F7" s="1289"/>
      <c r="G7" s="1289"/>
      <c r="H7" s="1289"/>
      <c r="I7" s="1289"/>
    </row>
    <row r="8" spans="2:18">
      <c r="B8" s="1289" t="s">
        <v>1151</v>
      </c>
      <c r="C8" s="1289"/>
      <c r="D8" s="1289"/>
      <c r="E8" s="1289"/>
      <c r="F8" s="1289"/>
      <c r="G8" s="1289"/>
      <c r="H8" s="1289"/>
      <c r="I8" s="1289"/>
    </row>
    <row r="9" spans="2:18">
      <c r="B9" s="1289" t="s">
        <v>1150</v>
      </c>
      <c r="C9" s="1289"/>
      <c r="D9" s="1289"/>
      <c r="E9" s="1289"/>
      <c r="F9" s="1289"/>
      <c r="G9" s="1289"/>
      <c r="H9" s="1289"/>
      <c r="I9" s="1289"/>
    </row>
    <row r="10" spans="2:18">
      <c r="B10" s="501"/>
      <c r="C10" s="501"/>
      <c r="D10" s="501"/>
      <c r="E10" s="501"/>
      <c r="F10" s="501"/>
      <c r="G10" s="501"/>
      <c r="H10" s="501"/>
      <c r="I10" s="501"/>
    </row>
    <row r="11" spans="2:18" ht="30" customHeight="1">
      <c r="B11" s="1290" t="s">
        <v>1002</v>
      </c>
      <c r="C11" s="1290"/>
      <c r="D11" s="1290"/>
      <c r="E11" s="1290"/>
      <c r="F11" s="1290"/>
      <c r="G11" s="1290"/>
      <c r="H11" s="1290"/>
      <c r="I11" s="1290"/>
      <c r="J11" s="1290"/>
      <c r="K11" s="1290"/>
      <c r="L11" s="1290"/>
      <c r="M11" s="1290"/>
      <c r="N11" s="1290"/>
      <c r="O11" s="1290"/>
      <c r="P11" s="1290"/>
      <c r="Q11" s="1290"/>
      <c r="R11" s="1290"/>
    </row>
    <row r="12" spans="2:18" s="160" customFormat="1" ht="18" customHeight="1">
      <c r="B12" s="476"/>
      <c r="C12" s="476"/>
      <c r="D12" s="476"/>
      <c r="E12" s="476"/>
      <c r="F12" s="476"/>
      <c r="G12" s="476"/>
      <c r="H12" s="476"/>
      <c r="I12" s="476"/>
      <c r="J12" s="476"/>
      <c r="K12" s="476"/>
      <c r="L12" s="476"/>
      <c r="M12" s="476"/>
      <c r="N12" s="476"/>
      <c r="O12" s="476"/>
      <c r="P12" s="476"/>
      <c r="Q12" s="476"/>
      <c r="R12" s="476"/>
    </row>
    <row r="13" spans="2:18">
      <c r="B13" s="428" t="s">
        <v>1003</v>
      </c>
    </row>
    <row r="14" spans="2:18">
      <c r="B14" s="427" t="s">
        <v>1004</v>
      </c>
    </row>
    <row r="15" spans="2:18">
      <c r="B15" s="469" t="s">
        <v>1005</v>
      </c>
    </row>
    <row r="16" spans="2:18">
      <c r="B16" s="956" t="s">
        <v>1097</v>
      </c>
      <c r="C16" s="956"/>
      <c r="D16" s="956"/>
      <c r="E16" s="956"/>
      <c r="F16" s="956"/>
      <c r="G16" s="956"/>
      <c r="H16" s="956"/>
      <c r="I16" s="956"/>
      <c r="J16" s="956"/>
      <c r="K16" s="956"/>
      <c r="L16" s="956"/>
      <c r="M16" s="956"/>
      <c r="N16" s="956"/>
      <c r="O16" s="956"/>
      <c r="P16" s="956"/>
      <c r="Q16" s="956"/>
      <c r="R16" s="956"/>
    </row>
    <row r="17" spans="2:18" s="160" customFormat="1" ht="18" customHeight="1">
      <c r="B17" s="568" t="s">
        <v>1098</v>
      </c>
      <c r="C17" s="477"/>
      <c r="D17" s="477"/>
      <c r="E17" s="477"/>
      <c r="F17" s="477"/>
      <c r="G17" s="477"/>
      <c r="H17" s="477"/>
      <c r="I17" s="477"/>
      <c r="J17" s="477"/>
      <c r="K17" s="477"/>
      <c r="L17" s="477"/>
      <c r="M17" s="477"/>
      <c r="N17" s="477"/>
      <c r="O17" s="477"/>
      <c r="P17" s="477"/>
      <c r="Q17" s="477"/>
      <c r="R17" s="477"/>
    </row>
    <row r="18" spans="2:18" ht="16.5">
      <c r="B18" s="428" t="s">
        <v>1006</v>
      </c>
    </row>
    <row r="19" spans="2:18">
      <c r="B19" s="470" t="s">
        <v>1099</v>
      </c>
    </row>
    <row r="22" spans="2:18" ht="15.5">
      <c r="B22" s="48" t="s">
        <v>1058</v>
      </c>
      <c r="C22" s="486"/>
      <c r="D22" s="488"/>
      <c r="E22" s="488"/>
      <c r="K22" s="1299" t="s">
        <v>1152</v>
      </c>
      <c r="L22" s="1299"/>
      <c r="M22" s="1299"/>
    </row>
    <row r="23" spans="2:18" ht="15.5">
      <c r="B23" s="496" t="s">
        <v>1059</v>
      </c>
      <c r="D23" s="487"/>
      <c r="E23" s="488"/>
    </row>
    <row r="24" spans="2:18">
      <c r="B24" s="428"/>
    </row>
    <row r="25" spans="2:18">
      <c r="B25" s="428" t="s">
        <v>1007</v>
      </c>
    </row>
    <row r="26" spans="2:18">
      <c r="B26" s="428"/>
    </row>
    <row r="27" spans="2:18">
      <c r="B27" s="428" t="s">
        <v>1008</v>
      </c>
    </row>
    <row r="28" spans="2:18">
      <c r="B28" s="428"/>
    </row>
    <row r="29" spans="2:18">
      <c r="B29" s="428" t="s">
        <v>1009</v>
      </c>
    </row>
    <row r="30" spans="2:18">
      <c r="B30" s="473"/>
    </row>
    <row r="31" spans="2:18" ht="16.5">
      <c r="B31" s="474" t="s">
        <v>1010</v>
      </c>
      <c r="M31" s="495" t="s">
        <v>1060</v>
      </c>
    </row>
    <row r="32" spans="2:18">
      <c r="B32" s="473"/>
    </row>
    <row r="33" spans="2:18">
      <c r="B33" s="428" t="s">
        <v>1011</v>
      </c>
    </row>
    <row r="34" spans="2:18" ht="16">
      <c r="B34" s="428" t="s">
        <v>1012</v>
      </c>
      <c r="C34" s="428" t="s">
        <v>1013</v>
      </c>
    </row>
    <row r="35" spans="2:18" ht="16">
      <c r="B35" s="428" t="s">
        <v>1014</v>
      </c>
      <c r="C35" s="428" t="s">
        <v>1015</v>
      </c>
    </row>
    <row r="36" spans="2:18" ht="16">
      <c r="B36" s="428" t="s">
        <v>1016</v>
      </c>
      <c r="C36" s="428" t="s">
        <v>1017</v>
      </c>
    </row>
    <row r="37" spans="2:18" ht="16">
      <c r="B37" s="428" t="s">
        <v>1018</v>
      </c>
      <c r="C37" s="428" t="s">
        <v>1019</v>
      </c>
    </row>
    <row r="38" spans="2:18">
      <c r="B38" s="428"/>
    </row>
    <row r="39" spans="2:18">
      <c r="B39" s="428" t="s">
        <v>1020</v>
      </c>
    </row>
    <row r="40" spans="2:18">
      <c r="B40" s="428"/>
    </row>
    <row r="41" spans="2:18" ht="16">
      <c r="B41" s="428" t="s">
        <v>1504</v>
      </c>
      <c r="M41" s="495" t="s">
        <v>1061</v>
      </c>
    </row>
    <row r="42" spans="2:18">
      <c r="B42" s="428"/>
    </row>
    <row r="43" spans="2:18" ht="64.5" customHeight="1">
      <c r="B43" s="1268" t="s">
        <v>1683</v>
      </c>
      <c r="C43" s="1268"/>
      <c r="D43" s="1268"/>
      <c r="E43" s="1268"/>
      <c r="F43" s="1268"/>
      <c r="G43" s="1268"/>
      <c r="H43" s="1268"/>
      <c r="I43" s="1268"/>
      <c r="J43" s="1268"/>
      <c r="K43" s="1268"/>
      <c r="L43" s="1268"/>
      <c r="M43" s="1268"/>
      <c r="N43" s="1268"/>
      <c r="O43" s="1268"/>
      <c r="P43" s="1268"/>
      <c r="Q43" s="1268"/>
      <c r="R43" s="1268"/>
    </row>
    <row r="45" spans="2:18">
      <c r="B45" s="428" t="s">
        <v>1021</v>
      </c>
    </row>
    <row r="46" spans="2:18" ht="39" customHeight="1">
      <c r="B46" s="1269" t="s">
        <v>1022</v>
      </c>
      <c r="C46" s="1270"/>
      <c r="D46" s="1271"/>
      <c r="E46" s="1266" t="s">
        <v>1023</v>
      </c>
      <c r="F46" s="1267"/>
      <c r="G46" s="1266" t="s">
        <v>1025</v>
      </c>
      <c r="H46" s="1267"/>
      <c r="I46" s="1275"/>
      <c r="J46" s="1266" t="s">
        <v>1023</v>
      </c>
      <c r="K46" s="1267"/>
      <c r="L46" s="1266" t="s">
        <v>1026</v>
      </c>
      <c r="M46" s="1267"/>
      <c r="N46" s="1275"/>
    </row>
    <row r="47" spans="2:18">
      <c r="B47" s="1272"/>
      <c r="C47" s="1273"/>
      <c r="D47" s="1274"/>
      <c r="E47" s="1279" t="s">
        <v>1024</v>
      </c>
      <c r="F47" s="1280"/>
      <c r="G47" s="1276"/>
      <c r="H47" s="1277"/>
      <c r="I47" s="1278"/>
      <c r="J47" s="1279" t="s">
        <v>1024</v>
      </c>
      <c r="K47" s="1280"/>
      <c r="L47" s="1276"/>
      <c r="M47" s="1277"/>
      <c r="N47" s="1278"/>
    </row>
    <row r="48" spans="2:18" ht="15" customHeight="1">
      <c r="B48" s="1283" t="s">
        <v>1027</v>
      </c>
      <c r="C48" s="1284"/>
      <c r="D48" s="1288"/>
      <c r="E48" s="1281"/>
      <c r="F48" s="1282"/>
      <c r="G48" s="1283"/>
      <c r="H48" s="1284"/>
      <c r="I48" s="1288"/>
      <c r="J48" s="1281"/>
      <c r="K48" s="1282"/>
      <c r="L48" s="1283"/>
      <c r="M48" s="1284"/>
      <c r="N48" s="1288"/>
    </row>
    <row r="49" spans="2:14" ht="18" customHeight="1">
      <c r="B49" s="1283"/>
      <c r="C49" s="1284"/>
      <c r="D49" s="1288"/>
      <c r="E49" s="1283"/>
      <c r="F49" s="1284"/>
      <c r="G49" s="1283"/>
      <c r="H49" s="1284"/>
      <c r="I49" s="1288"/>
      <c r="J49" s="1283"/>
      <c r="K49" s="1284"/>
      <c r="L49" s="1283"/>
      <c r="M49" s="1284"/>
      <c r="N49" s="1288"/>
    </row>
    <row r="50" spans="2:14" ht="18" customHeight="1">
      <c r="B50" s="1283"/>
      <c r="C50" s="1284"/>
      <c r="D50" s="1288"/>
      <c r="E50" s="1285"/>
      <c r="F50" s="1286"/>
      <c r="G50" s="1283"/>
      <c r="H50" s="1284"/>
      <c r="I50" s="1288"/>
      <c r="J50" s="1285"/>
      <c r="K50" s="1286"/>
      <c r="L50" s="1283"/>
      <c r="M50" s="1284"/>
      <c r="N50" s="1288"/>
    </row>
    <row r="51" spans="2:14" ht="39" customHeight="1">
      <c r="B51" s="1269" t="s">
        <v>1028</v>
      </c>
      <c r="C51" s="1270"/>
      <c r="D51" s="1271"/>
      <c r="E51" s="1266" t="s">
        <v>1023</v>
      </c>
      <c r="F51" s="1267"/>
      <c r="G51" s="1266" t="s">
        <v>1029</v>
      </c>
      <c r="H51" s="1267"/>
      <c r="I51" s="1275"/>
      <c r="J51" s="1266" t="s">
        <v>1023</v>
      </c>
      <c r="K51" s="1267"/>
      <c r="L51" s="1266" t="s">
        <v>1030</v>
      </c>
      <c r="M51" s="1267"/>
      <c r="N51" s="1275"/>
    </row>
    <row r="52" spans="2:14">
      <c r="B52" s="1272"/>
      <c r="C52" s="1273"/>
      <c r="D52" s="1274"/>
      <c r="E52" s="1279" t="s">
        <v>1024</v>
      </c>
      <c r="F52" s="1280"/>
      <c r="G52" s="1276"/>
      <c r="H52" s="1277"/>
      <c r="I52" s="1278"/>
      <c r="J52" s="1279" t="s">
        <v>1024</v>
      </c>
      <c r="K52" s="1280"/>
      <c r="L52" s="1276"/>
      <c r="M52" s="1277"/>
      <c r="N52" s="1278"/>
    </row>
    <row r="53" spans="2:14" ht="15" customHeight="1">
      <c r="B53" s="1283" t="s">
        <v>1027</v>
      </c>
      <c r="C53" s="1284"/>
      <c r="D53" s="1288"/>
      <c r="E53" s="1281"/>
      <c r="F53" s="1282"/>
      <c r="G53" s="1283"/>
      <c r="H53" s="1284"/>
      <c r="I53" s="1288"/>
      <c r="J53" s="1281"/>
      <c r="K53" s="1282"/>
      <c r="L53" s="1283"/>
      <c r="M53" s="1284"/>
      <c r="N53" s="1288"/>
    </row>
    <row r="54" spans="2:14" ht="15" customHeight="1">
      <c r="B54" s="1283"/>
      <c r="C54" s="1284"/>
      <c r="D54" s="1288"/>
      <c r="E54" s="1283"/>
      <c r="F54" s="1284"/>
      <c r="G54" s="1283"/>
      <c r="H54" s="1284"/>
      <c r="I54" s="1288"/>
      <c r="J54" s="1283"/>
      <c r="K54" s="1284"/>
      <c r="L54" s="1283"/>
      <c r="M54" s="1284"/>
      <c r="N54" s="1288"/>
    </row>
    <row r="55" spans="2:14" ht="15" customHeight="1">
      <c r="B55" s="1283"/>
      <c r="C55" s="1284"/>
      <c r="D55" s="1288"/>
      <c r="E55" s="1285"/>
      <c r="F55" s="1286"/>
      <c r="G55" s="1283"/>
      <c r="H55" s="1284"/>
      <c r="I55" s="1288"/>
      <c r="J55" s="1285"/>
      <c r="K55" s="1286"/>
      <c r="L55" s="1283"/>
      <c r="M55" s="1284"/>
      <c r="N55" s="1288"/>
    </row>
    <row r="56" spans="2:14" ht="39.75" customHeight="1">
      <c r="B56" s="1269" t="s">
        <v>1031</v>
      </c>
      <c r="C56" s="1270"/>
      <c r="D56" s="1271"/>
      <c r="E56" s="1266" t="s">
        <v>1023</v>
      </c>
      <c r="F56" s="1267"/>
      <c r="G56" s="1266" t="s">
        <v>1032</v>
      </c>
      <c r="H56" s="1267"/>
      <c r="I56" s="1275"/>
      <c r="J56" s="1266" t="s">
        <v>1023</v>
      </c>
      <c r="K56" s="1267"/>
      <c r="L56" s="1266" t="s">
        <v>1033</v>
      </c>
      <c r="M56" s="1267"/>
      <c r="N56" s="1275"/>
    </row>
    <row r="57" spans="2:14">
      <c r="B57" s="1272"/>
      <c r="C57" s="1273"/>
      <c r="D57" s="1274"/>
      <c r="E57" s="1279" t="s">
        <v>1024</v>
      </c>
      <c r="F57" s="1280"/>
      <c r="G57" s="1276"/>
      <c r="H57" s="1277"/>
      <c r="I57" s="1278"/>
      <c r="J57" s="1279" t="s">
        <v>1024</v>
      </c>
      <c r="K57" s="1280"/>
      <c r="L57" s="1276"/>
      <c r="M57" s="1277"/>
      <c r="N57" s="1278"/>
    </row>
    <row r="58" spans="2:14" ht="15" customHeight="1">
      <c r="B58" s="1283"/>
      <c r="C58" s="1284"/>
      <c r="D58" s="1288"/>
      <c r="E58" s="1281"/>
      <c r="F58" s="1282"/>
      <c r="G58" s="1283"/>
      <c r="H58" s="1284"/>
      <c r="I58" s="1288"/>
      <c r="J58" s="1281"/>
      <c r="K58" s="1282"/>
      <c r="L58" s="1283"/>
      <c r="M58" s="1284"/>
      <c r="N58" s="1288"/>
    </row>
    <row r="59" spans="2:14" ht="15" customHeight="1">
      <c r="B59" s="1283" t="s">
        <v>1027</v>
      </c>
      <c r="C59" s="1284"/>
      <c r="D59" s="1288"/>
      <c r="E59" s="1283"/>
      <c r="F59" s="1284"/>
      <c r="G59" s="1283"/>
      <c r="H59" s="1284"/>
      <c r="I59" s="1288"/>
      <c r="J59" s="1283"/>
      <c r="K59" s="1284"/>
      <c r="L59" s="1283"/>
      <c r="M59" s="1284"/>
      <c r="N59" s="1288"/>
    </row>
    <row r="60" spans="2:14" ht="15" customHeight="1">
      <c r="B60" s="1283"/>
      <c r="C60" s="1284"/>
      <c r="D60" s="1288"/>
      <c r="E60" s="1285"/>
      <c r="F60" s="1286"/>
      <c r="G60" s="1283"/>
      <c r="H60" s="1284"/>
      <c r="I60" s="1288"/>
      <c r="J60" s="1285"/>
      <c r="K60" s="1286"/>
      <c r="L60" s="1283"/>
      <c r="M60" s="1284"/>
      <c r="N60" s="1288"/>
    </row>
    <row r="61" spans="2:14" ht="51.75" customHeight="1">
      <c r="B61" s="1269" t="s">
        <v>1034</v>
      </c>
      <c r="C61" s="1270"/>
      <c r="D61" s="1271"/>
      <c r="E61" s="1266" t="s">
        <v>1023</v>
      </c>
      <c r="F61" s="1267"/>
      <c r="G61" s="1266" t="s">
        <v>1035</v>
      </c>
      <c r="H61" s="1267"/>
      <c r="I61" s="1275"/>
      <c r="J61" s="1266" t="s">
        <v>1023</v>
      </c>
      <c r="K61" s="1267"/>
      <c r="L61" s="1266" t="s">
        <v>1036</v>
      </c>
      <c r="M61" s="1267"/>
      <c r="N61" s="1275"/>
    </row>
    <row r="62" spans="2:14">
      <c r="B62" s="1272"/>
      <c r="C62" s="1273"/>
      <c r="D62" s="1274"/>
      <c r="E62" s="1279" t="s">
        <v>1024</v>
      </c>
      <c r="F62" s="1280"/>
      <c r="G62" s="1276"/>
      <c r="H62" s="1277"/>
      <c r="I62" s="1278"/>
      <c r="J62" s="1279" t="s">
        <v>1024</v>
      </c>
      <c r="K62" s="1280"/>
      <c r="L62" s="1276"/>
      <c r="M62" s="1277"/>
      <c r="N62" s="1278"/>
    </row>
    <row r="63" spans="2:14" ht="15" customHeight="1">
      <c r="B63" s="1283" t="s">
        <v>1027</v>
      </c>
      <c r="C63" s="1284"/>
      <c r="D63" s="1288"/>
      <c r="E63" s="1281"/>
      <c r="F63" s="1282"/>
      <c r="G63" s="1283"/>
      <c r="H63" s="1284"/>
      <c r="I63" s="1288"/>
      <c r="J63" s="1281"/>
      <c r="K63" s="1282"/>
      <c r="L63" s="1283"/>
      <c r="M63" s="1284"/>
      <c r="N63" s="1288"/>
    </row>
    <row r="64" spans="2:14" ht="15" customHeight="1">
      <c r="B64" s="1283"/>
      <c r="C64" s="1284"/>
      <c r="D64" s="1288"/>
      <c r="E64" s="1283"/>
      <c r="F64" s="1284"/>
      <c r="G64" s="1283"/>
      <c r="H64" s="1284"/>
      <c r="I64" s="1288"/>
      <c r="J64" s="1283"/>
      <c r="K64" s="1284"/>
      <c r="L64" s="1283"/>
      <c r="M64" s="1284"/>
      <c r="N64" s="1288"/>
    </row>
    <row r="65" spans="2:18" ht="15" customHeight="1">
      <c r="B65" s="1285"/>
      <c r="C65" s="1286"/>
      <c r="D65" s="1291"/>
      <c r="E65" s="1285"/>
      <c r="F65" s="1286"/>
      <c r="G65" s="1285"/>
      <c r="H65" s="1286"/>
      <c r="I65" s="1291"/>
      <c r="J65" s="1285"/>
      <c r="K65" s="1286"/>
      <c r="L65" s="1285"/>
      <c r="M65" s="1286"/>
      <c r="N65" s="1291"/>
    </row>
    <row r="66" spans="2:18" ht="46" customHeight="1">
      <c r="B66" s="1269" t="s">
        <v>1037</v>
      </c>
      <c r="C66" s="1270"/>
      <c r="D66" s="1271"/>
      <c r="E66" s="1266" t="s">
        <v>1023</v>
      </c>
      <c r="F66" s="1267"/>
      <c r="G66" s="1266" t="s">
        <v>1038</v>
      </c>
      <c r="H66" s="1267"/>
      <c r="I66" s="1275"/>
      <c r="J66" s="1266" t="s">
        <v>1023</v>
      </c>
      <c r="K66" s="1267"/>
      <c r="L66" s="1266" t="s">
        <v>1039</v>
      </c>
      <c r="M66" s="1267"/>
      <c r="N66" s="1275"/>
    </row>
    <row r="67" spans="2:18">
      <c r="B67" s="1272"/>
      <c r="C67" s="1273"/>
      <c r="D67" s="1274"/>
      <c r="E67" s="1279" t="s">
        <v>1024</v>
      </c>
      <c r="F67" s="1280"/>
      <c r="G67" s="1276"/>
      <c r="H67" s="1277"/>
      <c r="I67" s="1278"/>
      <c r="J67" s="1279" t="s">
        <v>1024</v>
      </c>
      <c r="K67" s="1280"/>
      <c r="L67" s="1276"/>
      <c r="M67" s="1277"/>
      <c r="N67" s="1278"/>
    </row>
    <row r="69" spans="2:18" ht="15" customHeight="1">
      <c r="B69" s="428" t="s">
        <v>1040</v>
      </c>
    </row>
    <row r="70" spans="2:18" ht="15" customHeight="1">
      <c r="B70" s="428"/>
    </row>
    <row r="71" spans="2:18" ht="16">
      <c r="B71" s="428" t="s">
        <v>1041</v>
      </c>
      <c r="J71" s="428"/>
      <c r="M71" s="497" t="s">
        <v>1062</v>
      </c>
    </row>
    <row r="72" spans="2:18">
      <c r="B72" s="428"/>
    </row>
    <row r="73" spans="2:18" ht="34.5" customHeight="1">
      <c r="B73" s="1268" t="s">
        <v>1042</v>
      </c>
      <c r="C73" s="1268"/>
      <c r="D73" s="1268"/>
      <c r="E73" s="1268"/>
      <c r="F73" s="1268"/>
      <c r="G73" s="1268"/>
      <c r="H73" s="1268"/>
      <c r="I73" s="1268"/>
      <c r="J73" s="1268"/>
      <c r="K73" s="1268"/>
      <c r="L73" s="1268"/>
      <c r="M73" s="1268"/>
      <c r="N73" s="1268"/>
      <c r="O73" s="1268"/>
      <c r="P73" s="1268"/>
      <c r="Q73" s="1268"/>
      <c r="R73" s="1268"/>
    </row>
    <row r="75" spans="2:18" ht="15.5">
      <c r="B75" s="1287" t="s">
        <v>1542</v>
      </c>
      <c r="C75" s="1287"/>
      <c r="D75" s="1287"/>
      <c r="E75" s="1287"/>
    </row>
    <row r="76" spans="2:18" ht="48" customHeight="1">
      <c r="B76" s="1268" t="s">
        <v>1043</v>
      </c>
      <c r="C76" s="1268"/>
      <c r="D76" s="1268"/>
      <c r="E76" s="1268"/>
      <c r="F76" s="1268"/>
      <c r="G76" s="1268"/>
      <c r="H76" s="1268"/>
      <c r="I76" s="1268"/>
      <c r="J76" s="1268"/>
      <c r="K76" s="1268"/>
      <c r="L76" s="1268"/>
      <c r="M76" s="1268"/>
      <c r="N76" s="1268"/>
      <c r="O76" s="1268"/>
      <c r="P76" s="1268"/>
      <c r="Q76" s="1268"/>
      <c r="R76" s="1268"/>
    </row>
    <row r="77" spans="2:18">
      <c r="B77" s="428"/>
    </row>
    <row r="78" spans="2:18">
      <c r="B78" s="428" t="s">
        <v>1044</v>
      </c>
    </row>
    <row r="79" spans="2:18">
      <c r="B79" s="473"/>
    </row>
    <row r="80" spans="2:18" ht="16">
      <c r="B80" s="428" t="s">
        <v>1045</v>
      </c>
      <c r="L80" s="428"/>
      <c r="M80" s="497" t="s">
        <v>1063</v>
      </c>
    </row>
    <row r="81" spans="2:18">
      <c r="B81" s="473"/>
    </row>
    <row r="82" spans="2:18" ht="33" customHeight="1">
      <c r="B82" s="1268" t="s">
        <v>1100</v>
      </c>
      <c r="C82" s="1268"/>
      <c r="D82" s="1268"/>
      <c r="E82" s="1268"/>
      <c r="F82" s="1268"/>
      <c r="G82" s="1268"/>
      <c r="H82" s="1268"/>
      <c r="I82" s="1268"/>
      <c r="J82" s="1268"/>
      <c r="K82" s="1268"/>
      <c r="L82" s="1268"/>
      <c r="M82" s="1268"/>
      <c r="N82" s="1268"/>
      <c r="O82" s="1268"/>
      <c r="P82" s="1268"/>
      <c r="Q82" s="1268"/>
      <c r="R82" s="1268"/>
    </row>
    <row r="83" spans="2:18">
      <c r="B83" s="428"/>
    </row>
    <row r="84" spans="2:18">
      <c r="B84" s="501" t="s">
        <v>1684</v>
      </c>
    </row>
    <row r="85" spans="2:18" s="160" customFormat="1">
      <c r="B85" s="470"/>
    </row>
    <row r="86" spans="2:18" ht="16.5">
      <c r="B86" s="498" t="s">
        <v>1064</v>
      </c>
      <c r="C86" s="475"/>
      <c r="K86" s="1299" t="s">
        <v>1152</v>
      </c>
      <c r="L86" s="1299"/>
      <c r="M86" s="1299"/>
    </row>
    <row r="87" spans="2:18" s="160" customFormat="1" ht="16.5">
      <c r="B87" s="498"/>
      <c r="C87" s="475"/>
    </row>
    <row r="88" spans="2:18">
      <c r="B88" s="428" t="s">
        <v>1046</v>
      </c>
    </row>
    <row r="89" spans="2:18">
      <c r="B89" s="1300" t="s">
        <v>1406</v>
      </c>
      <c r="C89" s="1300"/>
    </row>
    <row r="90" spans="2:18" s="160" customFormat="1">
      <c r="B90" s="48"/>
    </row>
    <row r="91" spans="2:18" ht="16.5">
      <c r="B91" s="499" t="s">
        <v>1101</v>
      </c>
      <c r="C91" s="475"/>
      <c r="K91" s="1299" t="s">
        <v>1152</v>
      </c>
      <c r="L91" s="1299"/>
      <c r="M91" s="1299"/>
    </row>
    <row r="92" spans="2:18" s="160" customFormat="1" ht="16.5">
      <c r="B92" s="499"/>
      <c r="C92" s="475"/>
    </row>
    <row r="93" spans="2:18" ht="15.5">
      <c r="B93" s="500" t="s">
        <v>1065</v>
      </c>
      <c r="C93" s="472"/>
    </row>
    <row r="94" spans="2:18" ht="87" customHeight="1">
      <c r="B94" s="1268" t="s">
        <v>1102</v>
      </c>
      <c r="C94" s="1268"/>
      <c r="D94" s="1268"/>
      <c r="E94" s="1268"/>
      <c r="F94" s="1268"/>
      <c r="G94" s="1268"/>
      <c r="H94" s="1268"/>
      <c r="I94" s="1268"/>
      <c r="J94" s="1268"/>
      <c r="K94" s="1268"/>
      <c r="L94" s="1268"/>
      <c r="M94" s="1268"/>
      <c r="N94" s="1268"/>
      <c r="O94" s="1268"/>
      <c r="P94" s="1268"/>
      <c r="Q94" s="1268"/>
      <c r="R94" s="1268"/>
    </row>
    <row r="95" spans="2:18" s="160" customFormat="1">
      <c r="B95" s="409"/>
      <c r="C95" s="409"/>
      <c r="D95" s="409"/>
      <c r="E95" s="409"/>
      <c r="F95" s="409"/>
      <c r="G95" s="409"/>
      <c r="H95" s="409"/>
      <c r="I95" s="409"/>
      <c r="J95" s="409"/>
      <c r="K95" s="409"/>
      <c r="L95" s="409"/>
      <c r="M95" s="409"/>
      <c r="N95" s="409"/>
      <c r="O95" s="409"/>
      <c r="P95" s="409"/>
      <c r="Q95" s="409"/>
      <c r="R95" s="409"/>
    </row>
    <row r="96" spans="2:18" ht="35.25" customHeight="1">
      <c r="B96" s="1268" t="s">
        <v>1103</v>
      </c>
      <c r="C96" s="1268"/>
      <c r="D96" s="1268"/>
      <c r="E96" s="1268"/>
      <c r="F96" s="1268"/>
      <c r="G96" s="1268"/>
      <c r="H96" s="1268"/>
      <c r="I96" s="1268"/>
      <c r="J96" s="1268"/>
      <c r="K96" s="1268"/>
      <c r="L96" s="1268"/>
      <c r="M96" s="1268"/>
      <c r="N96" s="1268"/>
      <c r="O96" s="1268"/>
      <c r="P96" s="1268"/>
      <c r="Q96" s="1268"/>
      <c r="R96" s="1268"/>
    </row>
    <row r="97" spans="2:18" s="160" customFormat="1">
      <c r="B97" s="409"/>
      <c r="C97" s="409"/>
      <c r="D97" s="409"/>
      <c r="E97" s="409"/>
      <c r="F97" s="409"/>
      <c r="G97" s="409"/>
      <c r="H97" s="409"/>
      <c r="I97" s="409"/>
      <c r="J97" s="409"/>
      <c r="K97" s="409"/>
      <c r="L97" s="409"/>
      <c r="M97" s="409"/>
      <c r="N97" s="409"/>
      <c r="O97" s="409"/>
      <c r="P97" s="409"/>
      <c r="Q97" s="409"/>
      <c r="R97" s="409"/>
    </row>
    <row r="98" spans="2:18">
      <c r="B98" s="470" t="s">
        <v>1047</v>
      </c>
    </row>
    <row r="99" spans="2:18" s="160" customFormat="1">
      <c r="B99" s="470"/>
    </row>
    <row r="100" spans="2:18" ht="15.5">
      <c r="B100" s="471" t="s">
        <v>1066</v>
      </c>
      <c r="D100" s="471"/>
    </row>
    <row r="101" spans="2:18" ht="48" customHeight="1">
      <c r="B101" s="1268" t="s">
        <v>1104</v>
      </c>
      <c r="C101" s="1268"/>
      <c r="D101" s="1268"/>
      <c r="E101" s="1268"/>
      <c r="F101" s="1268"/>
      <c r="G101" s="1268"/>
      <c r="H101" s="1268"/>
      <c r="I101" s="1268"/>
      <c r="J101" s="1268"/>
      <c r="K101" s="1268"/>
      <c r="L101" s="1268"/>
      <c r="M101" s="1268"/>
      <c r="N101" s="1268"/>
      <c r="O101" s="1268"/>
      <c r="P101" s="1268"/>
      <c r="Q101" s="1268"/>
      <c r="R101" s="1268"/>
    </row>
    <row r="102" spans="2:18" s="160" customFormat="1">
      <c r="B102" s="428"/>
    </row>
    <row r="103" spans="2:18" ht="15.5">
      <c r="B103" s="471" t="s">
        <v>1067</v>
      </c>
      <c r="C103" s="471"/>
    </row>
    <row r="104" spans="2:18" ht="66" customHeight="1">
      <c r="B104" s="1268" t="s">
        <v>1685</v>
      </c>
      <c r="C104" s="1268"/>
      <c r="D104" s="1268"/>
      <c r="E104" s="1268"/>
      <c r="F104" s="1268"/>
      <c r="G104" s="1268"/>
      <c r="H104" s="1268"/>
      <c r="I104" s="1268"/>
      <c r="J104" s="1268"/>
      <c r="K104" s="1268"/>
      <c r="L104" s="1268"/>
      <c r="M104" s="1268"/>
      <c r="N104" s="1268"/>
      <c r="O104" s="1268"/>
      <c r="P104" s="1268"/>
      <c r="Q104" s="1268"/>
      <c r="R104" s="1268"/>
    </row>
    <row r="105" spans="2:18" s="160" customFormat="1">
      <c r="B105" s="409"/>
      <c r="C105" s="409"/>
      <c r="D105" s="409"/>
      <c r="E105" s="409"/>
      <c r="F105" s="409"/>
      <c r="G105" s="409"/>
      <c r="H105" s="409"/>
      <c r="I105" s="409"/>
      <c r="J105" s="409"/>
      <c r="K105" s="409"/>
      <c r="L105" s="409"/>
      <c r="M105" s="409"/>
      <c r="N105" s="409"/>
      <c r="O105" s="409"/>
      <c r="P105" s="409"/>
      <c r="Q105" s="409"/>
      <c r="R105" s="409"/>
    </row>
    <row r="106" spans="2:18" ht="30.75" customHeight="1">
      <c r="B106" s="1268" t="s">
        <v>1105</v>
      </c>
      <c r="C106" s="1268"/>
      <c r="D106" s="1268"/>
      <c r="E106" s="1268"/>
      <c r="F106" s="1268"/>
      <c r="G106" s="1268"/>
      <c r="H106" s="1268"/>
      <c r="I106" s="1268"/>
      <c r="J106" s="1268"/>
      <c r="K106" s="1268"/>
      <c r="L106" s="1268"/>
      <c r="M106" s="1268"/>
      <c r="N106" s="1268"/>
      <c r="O106" s="1268"/>
      <c r="P106" s="1268"/>
      <c r="Q106" s="1268"/>
      <c r="R106" s="1268"/>
    </row>
    <row r="107" spans="2:18" s="160" customFormat="1">
      <c r="B107" s="428"/>
    </row>
    <row r="108" spans="2:18" ht="15.5">
      <c r="B108" s="471" t="s">
        <v>1068</v>
      </c>
      <c r="C108" s="471"/>
    </row>
    <row r="109" spans="2:18" ht="89.25" customHeight="1">
      <c r="B109" s="1268" t="s">
        <v>1106</v>
      </c>
      <c r="C109" s="1268"/>
      <c r="D109" s="1268"/>
      <c r="E109" s="1268"/>
      <c r="F109" s="1268"/>
      <c r="G109" s="1268"/>
      <c r="H109" s="1268"/>
      <c r="I109" s="1268"/>
      <c r="J109" s="1268"/>
      <c r="K109" s="1268"/>
      <c r="L109" s="1268"/>
      <c r="M109" s="1268"/>
      <c r="N109" s="1268"/>
      <c r="O109" s="1268"/>
      <c r="P109" s="1268"/>
      <c r="Q109" s="1268"/>
      <c r="R109" s="1268"/>
    </row>
    <row r="116" spans="9:18">
      <c r="I116" s="1292" t="s">
        <v>1107</v>
      </c>
      <c r="J116" s="1292"/>
      <c r="K116" s="1292"/>
      <c r="L116" s="1292"/>
      <c r="M116" s="1292"/>
      <c r="N116" s="1292"/>
      <c r="O116" s="1292"/>
      <c r="P116" s="1292"/>
      <c r="Q116" s="1292"/>
      <c r="R116" s="1292"/>
    </row>
    <row r="117" spans="9:18">
      <c r="I117" s="1292"/>
      <c r="J117" s="1292"/>
      <c r="K117" s="1292"/>
      <c r="L117" s="1292"/>
      <c r="M117" s="1292"/>
      <c r="N117" s="1292"/>
      <c r="O117" s="1292"/>
      <c r="P117" s="1292"/>
      <c r="Q117" s="1292"/>
      <c r="R117" s="1292"/>
    </row>
    <row r="118" spans="9:18">
      <c r="I118" s="1292"/>
      <c r="J118" s="1292"/>
      <c r="K118" s="1292"/>
      <c r="L118" s="1292"/>
      <c r="M118" s="1292"/>
      <c r="N118" s="1292"/>
      <c r="O118" s="1292"/>
      <c r="P118" s="1292"/>
      <c r="Q118" s="1292"/>
      <c r="R118" s="1292"/>
    </row>
    <row r="119" spans="9:18">
      <c r="I119" s="1292"/>
      <c r="J119" s="1292"/>
      <c r="K119" s="1292"/>
      <c r="L119" s="1292"/>
      <c r="M119" s="1292"/>
      <c r="N119" s="1292"/>
      <c r="O119" s="1292"/>
      <c r="P119" s="1292"/>
      <c r="Q119" s="1292"/>
      <c r="R119" s="1292"/>
    </row>
    <row r="130" spans="2:18">
      <c r="B130" s="569" t="s">
        <v>1428</v>
      </c>
      <c r="E130" s="569"/>
    </row>
    <row r="131" spans="2:18" ht="131.25" customHeight="1">
      <c r="B131" s="1293" t="s">
        <v>1108</v>
      </c>
      <c r="C131" s="1293"/>
      <c r="D131" s="1293"/>
      <c r="E131" s="1293"/>
      <c r="F131" s="1293"/>
      <c r="G131" s="1293"/>
      <c r="H131" s="1293"/>
      <c r="I131" s="1293"/>
      <c r="J131" s="1293"/>
      <c r="K131" s="1293"/>
      <c r="L131" s="1293"/>
      <c r="M131" s="1293"/>
      <c r="N131" s="1293"/>
      <c r="O131" s="1293"/>
      <c r="P131" s="1293"/>
      <c r="Q131" s="1293"/>
      <c r="R131" s="1293"/>
    </row>
    <row r="132" spans="2:18" s="160" customFormat="1">
      <c r="B132" s="521"/>
      <c r="C132" s="521"/>
      <c r="D132" s="521"/>
      <c r="E132" s="521"/>
      <c r="F132" s="521"/>
      <c r="G132" s="521"/>
      <c r="H132" s="521"/>
      <c r="I132" s="521"/>
      <c r="J132" s="521"/>
      <c r="K132" s="521"/>
      <c r="L132" s="521"/>
      <c r="M132" s="521"/>
      <c r="N132" s="521"/>
      <c r="O132" s="521"/>
      <c r="P132" s="521"/>
      <c r="Q132" s="521"/>
      <c r="R132" s="521"/>
    </row>
    <row r="133" spans="2:18" ht="30.75" customHeight="1">
      <c r="B133" s="1293" t="s">
        <v>1148</v>
      </c>
      <c r="C133" s="1293"/>
      <c r="D133" s="1293"/>
      <c r="E133" s="1293"/>
      <c r="F133" s="1293"/>
      <c r="G133" s="1293"/>
      <c r="H133" s="1293"/>
      <c r="I133" s="1293"/>
      <c r="J133" s="1293"/>
      <c r="K133" s="1293"/>
      <c r="L133" s="1293"/>
      <c r="M133" s="1293"/>
      <c r="N133" s="1293"/>
      <c r="O133" s="1293"/>
      <c r="P133" s="1293"/>
      <c r="Q133" s="1293"/>
      <c r="R133" s="1293"/>
    </row>
    <row r="134" spans="2:18" s="160" customFormat="1"/>
    <row r="135" spans="2:18" ht="46" customHeight="1">
      <c r="B135" s="1268" t="s">
        <v>1109</v>
      </c>
      <c r="C135" s="1268"/>
      <c r="D135" s="1268"/>
      <c r="E135" s="1268"/>
      <c r="F135" s="1268"/>
      <c r="G135" s="1268"/>
      <c r="H135" s="1268"/>
      <c r="I135" s="1268"/>
      <c r="J135" s="1268"/>
      <c r="K135" s="1268"/>
      <c r="L135" s="1268"/>
      <c r="M135" s="1268"/>
      <c r="N135" s="1268"/>
      <c r="O135" s="1268"/>
      <c r="P135" s="1268"/>
      <c r="Q135" s="1268"/>
      <c r="R135" s="1268"/>
    </row>
    <row r="136" spans="2:18" s="160" customFormat="1">
      <c r="B136" s="428"/>
    </row>
    <row r="137" spans="2:18">
      <c r="B137" s="569" t="s">
        <v>1434</v>
      </c>
      <c r="C137" s="569"/>
    </row>
    <row r="138" spans="2:18" ht="150" customHeight="1">
      <c r="B138" s="1268" t="s">
        <v>1686</v>
      </c>
      <c r="C138" s="1268"/>
      <c r="D138" s="1268"/>
      <c r="E138" s="1268"/>
      <c r="F138" s="1268"/>
      <c r="G138" s="1268"/>
      <c r="H138" s="1268"/>
      <c r="I138" s="1268"/>
      <c r="J138" s="1268"/>
      <c r="K138" s="1268"/>
      <c r="L138" s="1268"/>
      <c r="M138" s="1268"/>
      <c r="N138" s="1268"/>
      <c r="O138" s="1268"/>
      <c r="P138" s="1268"/>
      <c r="Q138" s="1268"/>
      <c r="R138" s="1268"/>
    </row>
    <row r="139" spans="2:18" s="160" customFormat="1">
      <c r="B139" s="409"/>
      <c r="C139" s="409"/>
      <c r="D139" s="409"/>
      <c r="E139" s="409"/>
      <c r="F139" s="409"/>
      <c r="G139" s="409"/>
      <c r="H139" s="409"/>
      <c r="I139" s="409"/>
      <c r="J139" s="409"/>
      <c r="K139" s="409"/>
      <c r="L139" s="409"/>
      <c r="M139" s="409"/>
      <c r="N139" s="409"/>
      <c r="O139" s="409"/>
      <c r="P139" s="409"/>
      <c r="Q139" s="409"/>
      <c r="R139" s="409"/>
    </row>
    <row r="146" spans="10:18" ht="15" customHeight="1">
      <c r="J146" s="1294" t="s">
        <v>1687</v>
      </c>
      <c r="K146" s="1294"/>
      <c r="L146" s="1294"/>
      <c r="M146" s="1294"/>
      <c r="N146" s="1294"/>
      <c r="O146" s="1294"/>
      <c r="P146" s="1294"/>
      <c r="Q146" s="1294"/>
      <c r="R146" s="1294"/>
    </row>
    <row r="147" spans="10:18">
      <c r="J147" s="1294"/>
      <c r="K147" s="1294"/>
      <c r="L147" s="1294"/>
      <c r="M147" s="1294"/>
      <c r="N147" s="1294"/>
      <c r="O147" s="1294"/>
      <c r="P147" s="1294"/>
      <c r="Q147" s="1294"/>
      <c r="R147" s="1294"/>
    </row>
    <row r="148" spans="10:18">
      <c r="J148" s="1294"/>
      <c r="K148" s="1294"/>
      <c r="L148" s="1294"/>
      <c r="M148" s="1294"/>
      <c r="N148" s="1294"/>
      <c r="O148" s="1294"/>
      <c r="P148" s="1294"/>
      <c r="Q148" s="1294"/>
      <c r="R148" s="1294"/>
    </row>
    <row r="149" spans="10:18">
      <c r="J149" s="1294"/>
      <c r="K149" s="1294"/>
      <c r="L149" s="1294"/>
      <c r="M149" s="1294"/>
      <c r="N149" s="1294"/>
      <c r="O149" s="1294"/>
      <c r="P149" s="1294"/>
      <c r="Q149" s="1294"/>
      <c r="R149" s="1294"/>
    </row>
    <row r="150" spans="10:18">
      <c r="J150" s="1294"/>
      <c r="K150" s="1294"/>
      <c r="L150" s="1294"/>
      <c r="M150" s="1294"/>
      <c r="N150" s="1294"/>
      <c r="O150" s="1294"/>
      <c r="P150" s="1294"/>
      <c r="Q150" s="1294"/>
      <c r="R150" s="1294"/>
    </row>
    <row r="161" spans="2:18" ht="75.75" customHeight="1">
      <c r="B161" s="1293" t="s">
        <v>1110</v>
      </c>
      <c r="C161" s="1293"/>
      <c r="D161" s="1293"/>
      <c r="E161" s="1293"/>
      <c r="F161" s="1293"/>
      <c r="G161" s="1293"/>
      <c r="H161" s="1293"/>
      <c r="I161" s="1293"/>
      <c r="J161" s="1293"/>
      <c r="K161" s="1293"/>
      <c r="L161" s="1293"/>
      <c r="M161" s="1293"/>
      <c r="N161" s="1293"/>
      <c r="O161" s="1293"/>
      <c r="P161" s="1293"/>
      <c r="Q161" s="1293"/>
      <c r="R161" s="1293"/>
    </row>
    <row r="163" spans="2:18" ht="45" customHeight="1">
      <c r="B163" s="1268" t="s">
        <v>1111</v>
      </c>
      <c r="C163" s="1268"/>
      <c r="D163" s="1268"/>
      <c r="E163" s="1268"/>
      <c r="F163" s="1268"/>
      <c r="G163" s="1268"/>
      <c r="H163" s="1268"/>
      <c r="I163" s="1268"/>
      <c r="J163" s="1268"/>
      <c r="K163" s="1268"/>
      <c r="L163" s="1268"/>
      <c r="M163" s="1268"/>
      <c r="N163" s="1268"/>
      <c r="O163" s="1268"/>
      <c r="P163" s="1268"/>
      <c r="Q163" s="1268"/>
      <c r="R163" s="1268"/>
    </row>
    <row r="164" spans="2:18" s="160" customFormat="1">
      <c r="B164" s="409"/>
      <c r="C164" s="409"/>
      <c r="D164" s="409"/>
      <c r="E164" s="409"/>
      <c r="F164" s="409"/>
      <c r="G164" s="409"/>
      <c r="H164" s="409"/>
      <c r="I164" s="409"/>
      <c r="J164" s="409"/>
      <c r="K164" s="409"/>
      <c r="L164" s="409"/>
      <c r="M164" s="409"/>
      <c r="N164" s="409"/>
      <c r="O164" s="409"/>
      <c r="P164" s="409"/>
      <c r="Q164" s="409"/>
      <c r="R164" s="409"/>
    </row>
    <row r="165" spans="2:18">
      <c r="B165" s="428" t="s">
        <v>1112</v>
      </c>
    </row>
    <row r="166" spans="2:18" s="160" customFormat="1">
      <c r="B166" s="428"/>
    </row>
    <row r="167" spans="2:18">
      <c r="B167" s="569" t="s">
        <v>1429</v>
      </c>
      <c r="E167" s="569"/>
    </row>
    <row r="168" spans="2:18" ht="101.25" customHeight="1">
      <c r="B168" s="1293" t="s">
        <v>1113</v>
      </c>
      <c r="C168" s="1293"/>
      <c r="D168" s="1293"/>
      <c r="E168" s="1293"/>
      <c r="F168" s="1293"/>
      <c r="G168" s="1293"/>
      <c r="H168" s="1293"/>
      <c r="I168" s="1293"/>
      <c r="J168" s="1293"/>
      <c r="K168" s="1293"/>
      <c r="L168" s="1293"/>
      <c r="M168" s="1293"/>
      <c r="N168" s="1293"/>
      <c r="O168" s="1293"/>
      <c r="P168" s="1293"/>
      <c r="Q168" s="1293"/>
      <c r="R168" s="1293"/>
    </row>
    <row r="176" spans="2:18">
      <c r="K176" s="1294" t="s">
        <v>1114</v>
      </c>
      <c r="L176" s="1294"/>
      <c r="M176" s="1294"/>
      <c r="N176" s="1294"/>
      <c r="O176" s="1294"/>
      <c r="P176" s="1294"/>
      <c r="Q176" s="1294"/>
      <c r="R176" s="1294"/>
    </row>
    <row r="177" spans="2:18">
      <c r="K177" s="1294"/>
      <c r="L177" s="1294"/>
      <c r="M177" s="1294"/>
      <c r="N177" s="1294"/>
      <c r="O177" s="1294"/>
      <c r="P177" s="1294"/>
      <c r="Q177" s="1294"/>
      <c r="R177" s="1294"/>
    </row>
    <row r="178" spans="2:18">
      <c r="K178" s="1294"/>
      <c r="L178" s="1294"/>
      <c r="M178" s="1294"/>
      <c r="N178" s="1294"/>
      <c r="O178" s="1294"/>
      <c r="P178" s="1294"/>
      <c r="Q178" s="1294"/>
      <c r="R178" s="1294"/>
    </row>
    <row r="179" spans="2:18">
      <c r="K179" s="1294"/>
      <c r="L179" s="1294"/>
      <c r="M179" s="1294"/>
      <c r="N179" s="1294"/>
      <c r="O179" s="1294"/>
      <c r="P179" s="1294"/>
      <c r="Q179" s="1294"/>
      <c r="R179" s="1294"/>
    </row>
    <row r="181" spans="2:18" ht="15.5">
      <c r="K181" s="570" t="s">
        <v>1135</v>
      </c>
    </row>
    <row r="182" spans="2:18" ht="15.5">
      <c r="K182" s="570" t="s">
        <v>1136</v>
      </c>
    </row>
    <row r="191" spans="2:18" ht="16.5">
      <c r="B191" s="1295" t="s">
        <v>1579</v>
      </c>
      <c r="C191" s="1295"/>
      <c r="D191" s="1295"/>
      <c r="E191" s="1295"/>
      <c r="F191" s="1295"/>
      <c r="G191" s="1295"/>
      <c r="K191" s="1299" t="s">
        <v>1152</v>
      </c>
      <c r="L191" s="1299"/>
      <c r="M191" s="1299"/>
    </row>
    <row r="192" spans="2:18" ht="30.75" customHeight="1">
      <c r="B192" s="1268" t="s">
        <v>1115</v>
      </c>
      <c r="C192" s="1268"/>
      <c r="D192" s="1268"/>
      <c r="E192" s="1268"/>
      <c r="F192" s="1268"/>
      <c r="G192" s="1268"/>
      <c r="H192" s="1268"/>
      <c r="I192" s="1268"/>
      <c r="J192" s="1268"/>
      <c r="K192" s="1268"/>
      <c r="L192" s="1268"/>
      <c r="M192" s="1268"/>
      <c r="N192" s="1268"/>
      <c r="O192" s="1268"/>
      <c r="P192" s="1268"/>
      <c r="Q192" s="1268"/>
      <c r="R192" s="1268"/>
    </row>
    <row r="193" spans="2:18" s="160" customFormat="1">
      <c r="B193" s="428"/>
    </row>
    <row r="194" spans="2:18">
      <c r="B194" s="569" t="s">
        <v>1432</v>
      </c>
      <c r="E194" s="569"/>
    </row>
    <row r="195" spans="2:18" ht="30.75" customHeight="1">
      <c r="B195" s="1293" t="s">
        <v>1116</v>
      </c>
      <c r="C195" s="1293"/>
      <c r="D195" s="1293"/>
      <c r="E195" s="1293"/>
      <c r="F195" s="1293"/>
      <c r="G195" s="1293"/>
      <c r="H195" s="1293"/>
      <c r="I195" s="1293"/>
      <c r="J195" s="1293"/>
      <c r="K195" s="1293"/>
      <c r="L195" s="1293"/>
      <c r="M195" s="1293"/>
      <c r="N195" s="1293"/>
      <c r="O195" s="1293"/>
      <c r="P195" s="1293"/>
      <c r="Q195" s="1293"/>
      <c r="R195" s="1293"/>
    </row>
    <row r="196" spans="2:18" s="160" customFormat="1">
      <c r="B196" s="470"/>
    </row>
    <row r="197" spans="2:18">
      <c r="B197" s="569" t="s">
        <v>1433</v>
      </c>
      <c r="C197" s="569"/>
    </row>
    <row r="198" spans="2:18" ht="31.65" customHeight="1">
      <c r="B198" s="1293" t="s">
        <v>1117</v>
      </c>
      <c r="C198" s="1293"/>
      <c r="D198" s="1293"/>
      <c r="E198" s="1293"/>
      <c r="F198" s="1293"/>
      <c r="G198" s="1293"/>
      <c r="H198" s="1293"/>
      <c r="I198" s="1293"/>
      <c r="J198" s="1293"/>
      <c r="K198" s="1293"/>
      <c r="L198" s="1293"/>
      <c r="M198" s="1293"/>
      <c r="N198" s="1293"/>
      <c r="O198" s="1293"/>
      <c r="P198" s="1293"/>
      <c r="Q198" s="1293"/>
      <c r="R198" s="1293"/>
    </row>
    <row r="199" spans="2:18" s="160" customFormat="1">
      <c r="B199" s="470"/>
    </row>
    <row r="200" spans="2:18">
      <c r="B200" s="569" t="s">
        <v>1430</v>
      </c>
      <c r="E200" s="569"/>
    </row>
    <row r="201" spans="2:18" ht="46" customHeight="1">
      <c r="B201" s="1293" t="s">
        <v>1118</v>
      </c>
      <c r="C201" s="1293"/>
      <c r="D201" s="1293"/>
      <c r="E201" s="1293"/>
      <c r="F201" s="1293"/>
      <c r="G201" s="1293"/>
      <c r="H201" s="1293"/>
      <c r="I201" s="1293"/>
      <c r="J201" s="1293"/>
      <c r="K201" s="1293"/>
      <c r="L201" s="1293"/>
      <c r="M201" s="1293"/>
      <c r="N201" s="1293"/>
      <c r="O201" s="1293"/>
      <c r="P201" s="1293"/>
      <c r="Q201" s="1293"/>
      <c r="R201" s="1293"/>
    </row>
    <row r="202" spans="2:18" s="160" customFormat="1">
      <c r="B202" s="470"/>
    </row>
    <row r="203" spans="2:18" ht="16.5">
      <c r="B203" s="1295" t="s">
        <v>1580</v>
      </c>
      <c r="C203" s="1295"/>
      <c r="D203" s="1295"/>
      <c r="E203" s="1295"/>
      <c r="F203" s="1295"/>
      <c r="G203" s="1295"/>
      <c r="H203" s="1295"/>
      <c r="I203" s="475" t="s">
        <v>1119</v>
      </c>
      <c r="J203" s="475" t="s">
        <v>1119</v>
      </c>
      <c r="K203" s="1299" t="s">
        <v>1152</v>
      </c>
      <c r="L203" s="1299"/>
      <c r="M203" s="1299"/>
    </row>
    <row r="204" spans="2:18" ht="77.25" customHeight="1">
      <c r="B204" s="1268" t="s">
        <v>1120</v>
      </c>
      <c r="C204" s="1268"/>
      <c r="D204" s="1268"/>
      <c r="E204" s="1268"/>
      <c r="F204" s="1268"/>
      <c r="G204" s="1268"/>
      <c r="H204" s="1268"/>
      <c r="I204" s="1268"/>
      <c r="J204" s="1268"/>
      <c r="K204" s="1268"/>
      <c r="L204" s="1268"/>
      <c r="M204" s="1268"/>
      <c r="N204" s="1268"/>
      <c r="O204" s="1268"/>
      <c r="P204" s="1268"/>
      <c r="Q204" s="1268"/>
      <c r="R204" s="1268"/>
    </row>
    <row r="205" spans="2:18" s="160" customFormat="1">
      <c r="B205" s="409"/>
      <c r="C205" s="409"/>
      <c r="D205" s="409"/>
      <c r="E205" s="409"/>
      <c r="F205" s="409"/>
      <c r="G205" s="409"/>
      <c r="H205" s="409"/>
      <c r="I205" s="409"/>
      <c r="J205" s="409"/>
      <c r="K205" s="409"/>
      <c r="L205" s="409"/>
      <c r="M205" s="409"/>
      <c r="N205" s="409"/>
      <c r="O205" s="409"/>
      <c r="P205" s="409"/>
      <c r="Q205" s="409"/>
      <c r="R205" s="409"/>
    </row>
    <row r="206" spans="2:18" ht="44.25" customHeight="1">
      <c r="B206" s="1268" t="s">
        <v>1121</v>
      </c>
      <c r="C206" s="1268"/>
      <c r="D206" s="1268"/>
      <c r="E206" s="1268"/>
      <c r="F206" s="1268"/>
      <c r="G206" s="1268"/>
      <c r="H206" s="1268"/>
      <c r="I206" s="1268"/>
      <c r="J206" s="1268"/>
      <c r="K206" s="1268"/>
      <c r="L206" s="1268"/>
      <c r="M206" s="1268"/>
      <c r="N206" s="1268"/>
      <c r="O206" s="1268"/>
      <c r="P206" s="1268"/>
      <c r="Q206" s="1268"/>
      <c r="R206" s="1268"/>
    </row>
    <row r="207" spans="2:18" s="160" customFormat="1">
      <c r="B207" s="409"/>
      <c r="C207" s="409"/>
      <c r="D207" s="409"/>
      <c r="E207" s="409"/>
      <c r="F207" s="409"/>
      <c r="G207" s="409"/>
      <c r="H207" s="409"/>
      <c r="I207" s="409"/>
      <c r="J207" s="409"/>
      <c r="K207" s="409"/>
      <c r="L207" s="409"/>
      <c r="M207" s="409"/>
      <c r="N207" s="409"/>
      <c r="O207" s="409"/>
      <c r="P207" s="409"/>
      <c r="Q207" s="409"/>
      <c r="R207" s="409"/>
    </row>
    <row r="208" spans="2:18" ht="45" customHeight="1">
      <c r="B208" s="1268" t="s">
        <v>1122</v>
      </c>
      <c r="C208" s="1268"/>
      <c r="D208" s="1268"/>
      <c r="E208" s="1268"/>
      <c r="F208" s="1268"/>
      <c r="G208" s="1268"/>
      <c r="H208" s="1268"/>
      <c r="I208" s="1268"/>
      <c r="J208" s="1268"/>
      <c r="K208" s="1268"/>
      <c r="L208" s="1268"/>
      <c r="M208" s="1268"/>
      <c r="N208" s="1268"/>
      <c r="O208" s="1268"/>
      <c r="P208" s="1268"/>
      <c r="Q208" s="1268"/>
      <c r="R208" s="1268"/>
    </row>
    <row r="209" spans="2:18" s="160" customFormat="1">
      <c r="B209" s="409"/>
      <c r="C209" s="409"/>
      <c r="D209" s="409"/>
      <c r="E209" s="409"/>
      <c r="F209" s="409"/>
      <c r="G209" s="409"/>
      <c r="H209" s="409"/>
      <c r="I209" s="409"/>
      <c r="J209" s="409"/>
      <c r="K209" s="409"/>
      <c r="L209" s="409"/>
      <c r="M209" s="409"/>
      <c r="N209" s="409"/>
      <c r="O209" s="409"/>
      <c r="P209" s="409"/>
      <c r="Q209" s="409"/>
      <c r="R209" s="409"/>
    </row>
    <row r="210" spans="2:18" ht="30" customHeight="1">
      <c r="B210" s="1293" t="s">
        <v>1123</v>
      </c>
      <c r="C210" s="1293"/>
      <c r="D210" s="1293"/>
      <c r="E210" s="1293"/>
      <c r="F210" s="1293"/>
      <c r="G210" s="1293"/>
      <c r="H210" s="1293"/>
      <c r="I210" s="1293"/>
      <c r="J210" s="1293"/>
      <c r="K210" s="1293"/>
      <c r="L210" s="1293"/>
      <c r="M210" s="1293"/>
      <c r="N210" s="1293"/>
      <c r="O210" s="1293"/>
      <c r="P210" s="1293"/>
      <c r="Q210" s="1293"/>
      <c r="R210" s="1293"/>
    </row>
    <row r="211" spans="2:18">
      <c r="B211" s="428"/>
    </row>
    <row r="212" spans="2:18" ht="16.5">
      <c r="B212" s="1295" t="s">
        <v>1581</v>
      </c>
      <c r="C212" s="1295"/>
      <c r="D212" s="1295"/>
      <c r="J212" s="1299" t="s">
        <v>1152</v>
      </c>
      <c r="K212" s="1299"/>
      <c r="L212" s="1299"/>
    </row>
    <row r="213" spans="2:18" s="771" customFormat="1" ht="59.5" customHeight="1">
      <c r="B213" s="1297" t="s">
        <v>1710</v>
      </c>
      <c r="C213" s="1298"/>
      <c r="D213" s="1298"/>
      <c r="E213" s="1298"/>
      <c r="F213" s="1298"/>
      <c r="G213" s="1298"/>
      <c r="H213" s="1298"/>
      <c r="I213" s="1298"/>
      <c r="J213" s="1298"/>
      <c r="K213" s="1298"/>
      <c r="L213" s="1298"/>
      <c r="M213" s="1298"/>
      <c r="N213" s="1298"/>
      <c r="O213" s="1298"/>
      <c r="P213" s="1298"/>
      <c r="Q213" s="1298"/>
      <c r="R213" s="1298"/>
    </row>
    <row r="214" spans="2:18" ht="16.5" customHeight="1">
      <c r="B214" s="1296" t="s">
        <v>1124</v>
      </c>
      <c r="C214" s="1296"/>
      <c r="D214" s="1296"/>
      <c r="E214" s="1296"/>
      <c r="F214" s="1296"/>
      <c r="G214" s="1296"/>
      <c r="H214" s="1296"/>
      <c r="I214" s="1296"/>
      <c r="J214" s="1296"/>
      <c r="K214" s="1296"/>
      <c r="L214" s="1296"/>
      <c r="M214" s="1296"/>
      <c r="N214" s="1296"/>
      <c r="O214" s="1296"/>
      <c r="P214" s="1296"/>
      <c r="Q214" s="1296"/>
      <c r="R214" s="1296"/>
    </row>
    <row r="215" spans="2:18" ht="33.75" customHeight="1">
      <c r="B215" s="1296" t="s">
        <v>1125</v>
      </c>
      <c r="C215" s="1296"/>
      <c r="D215" s="1296"/>
      <c r="E215" s="1296"/>
      <c r="F215" s="1296"/>
      <c r="G215" s="1296"/>
      <c r="H215" s="1296"/>
      <c r="I215" s="1296"/>
      <c r="J215" s="1296"/>
      <c r="K215" s="1296"/>
      <c r="L215" s="1296"/>
      <c r="M215" s="1296"/>
      <c r="N215" s="1296"/>
      <c r="O215" s="1296"/>
      <c r="P215" s="1296"/>
      <c r="Q215" s="1296"/>
      <c r="R215" s="1296"/>
    </row>
    <row r="216" spans="2:18" ht="33.75" customHeight="1">
      <c r="B216" s="1296" t="s">
        <v>1126</v>
      </c>
      <c r="C216" s="1296"/>
      <c r="D216" s="1296"/>
      <c r="E216" s="1296"/>
      <c r="F216" s="1296"/>
      <c r="G216" s="1296"/>
      <c r="H216" s="1296"/>
      <c r="I216" s="1296"/>
      <c r="J216" s="1296"/>
      <c r="K216" s="1296"/>
      <c r="L216" s="1296"/>
      <c r="M216" s="1296"/>
      <c r="N216" s="1296"/>
      <c r="O216" s="1296"/>
      <c r="P216" s="1296"/>
      <c r="Q216" s="1296"/>
      <c r="R216" s="1296"/>
    </row>
    <row r="217" spans="2:18" ht="33.75" customHeight="1">
      <c r="B217" s="1296" t="s">
        <v>1137</v>
      </c>
      <c r="C217" s="1296"/>
      <c r="D217" s="1296"/>
      <c r="E217" s="1296"/>
      <c r="F217" s="1296"/>
      <c r="G217" s="1296"/>
      <c r="H217" s="1296"/>
      <c r="I217" s="1296"/>
      <c r="J217" s="1296"/>
      <c r="K217" s="1296"/>
      <c r="L217" s="1296"/>
      <c r="M217" s="1296"/>
      <c r="N217" s="1296"/>
      <c r="O217" s="1296"/>
      <c r="P217" s="1296"/>
      <c r="Q217" s="1296"/>
      <c r="R217" s="1296"/>
    </row>
    <row r="218" spans="2:18" ht="16.5" customHeight="1">
      <c r="B218" s="1296" t="s">
        <v>1138</v>
      </c>
      <c r="C218" s="1296"/>
      <c r="D218" s="1296"/>
      <c r="E218" s="1296"/>
      <c r="F218" s="1296"/>
      <c r="G218" s="1296"/>
      <c r="H218" s="1296"/>
      <c r="I218" s="1296"/>
      <c r="J218" s="1296"/>
      <c r="K218" s="1296"/>
      <c r="L218" s="1296"/>
      <c r="M218" s="1296"/>
      <c r="N218" s="1296"/>
      <c r="O218" s="1296"/>
      <c r="P218" s="1296"/>
      <c r="Q218" s="1296"/>
      <c r="R218" s="1296"/>
    </row>
    <row r="219" spans="2:18" ht="33.75" customHeight="1">
      <c r="B219" s="1296" t="s">
        <v>1127</v>
      </c>
      <c r="C219" s="1296"/>
      <c r="D219" s="1296"/>
      <c r="E219" s="1296"/>
      <c r="F219" s="1296"/>
      <c r="G219" s="1296"/>
      <c r="H219" s="1296"/>
      <c r="I219" s="1296"/>
      <c r="J219" s="1296"/>
      <c r="K219" s="1296"/>
      <c r="L219" s="1296"/>
      <c r="M219" s="1296"/>
      <c r="N219" s="1296"/>
      <c r="O219" s="1296"/>
      <c r="P219" s="1296"/>
      <c r="Q219" s="1296"/>
      <c r="R219" s="1296"/>
    </row>
    <row r="220" spans="2:18" ht="33.75" customHeight="1">
      <c r="B220" s="1296" t="s">
        <v>1139</v>
      </c>
      <c r="C220" s="1296"/>
      <c r="D220" s="1296"/>
      <c r="E220" s="1296"/>
      <c r="F220" s="1296"/>
      <c r="G220" s="1296"/>
      <c r="H220" s="1296"/>
      <c r="I220" s="1296"/>
      <c r="J220" s="1296"/>
      <c r="K220" s="1296"/>
      <c r="L220" s="1296"/>
      <c r="M220" s="1296"/>
      <c r="N220" s="1296"/>
      <c r="O220" s="1296"/>
      <c r="P220" s="1296"/>
      <c r="Q220" s="1296"/>
      <c r="R220" s="1296"/>
    </row>
    <row r="221" spans="2:18" ht="16.5" customHeight="1">
      <c r="B221" s="1296" t="s">
        <v>1140</v>
      </c>
      <c r="C221" s="1296"/>
      <c r="D221" s="1296"/>
      <c r="E221" s="1296"/>
      <c r="F221" s="1296"/>
      <c r="G221" s="1296"/>
      <c r="H221" s="1296"/>
      <c r="I221" s="1296"/>
      <c r="J221" s="1296"/>
      <c r="K221" s="1296"/>
      <c r="L221" s="1296"/>
      <c r="M221" s="1296"/>
      <c r="N221" s="1296"/>
      <c r="O221" s="1296"/>
      <c r="P221" s="1296"/>
      <c r="Q221" s="1296"/>
      <c r="R221" s="1296"/>
    </row>
    <row r="222" spans="2:18" ht="16.5" customHeight="1">
      <c r="B222" s="1296" t="s">
        <v>1141</v>
      </c>
      <c r="C222" s="1296"/>
      <c r="D222" s="1296"/>
      <c r="E222" s="1296"/>
      <c r="F222" s="1296"/>
      <c r="G222" s="1296"/>
      <c r="H222" s="1296"/>
      <c r="I222" s="1296"/>
      <c r="J222" s="1296"/>
      <c r="K222" s="1296"/>
      <c r="L222" s="1296"/>
      <c r="M222" s="1296"/>
      <c r="N222" s="1296"/>
      <c r="O222" s="1296"/>
      <c r="P222" s="1296"/>
      <c r="Q222" s="1296"/>
      <c r="R222" s="1296"/>
    </row>
    <row r="223" spans="2:18" ht="16.5" customHeight="1">
      <c r="B223" s="1296" t="s">
        <v>1142</v>
      </c>
      <c r="C223" s="1296"/>
      <c r="D223" s="1296"/>
      <c r="E223" s="1296"/>
      <c r="F223" s="1296"/>
      <c r="G223" s="1296"/>
      <c r="H223" s="1296"/>
      <c r="I223" s="1296"/>
      <c r="J223" s="1296"/>
      <c r="K223" s="1296"/>
      <c r="L223" s="1296"/>
      <c r="M223" s="1296"/>
      <c r="N223" s="1296"/>
      <c r="O223" s="1296"/>
      <c r="P223" s="1296"/>
      <c r="Q223" s="1296"/>
      <c r="R223" s="1296"/>
    </row>
    <row r="224" spans="2:18" ht="16.5" customHeight="1">
      <c r="B224" s="1296" t="s">
        <v>1143</v>
      </c>
      <c r="C224" s="1296"/>
      <c r="D224" s="1296"/>
      <c r="E224" s="1296"/>
      <c r="F224" s="1296"/>
      <c r="G224" s="1296"/>
      <c r="H224" s="1296"/>
      <c r="I224" s="1296"/>
      <c r="J224" s="1296"/>
      <c r="K224" s="1296"/>
      <c r="L224" s="1296"/>
      <c r="M224" s="1296"/>
      <c r="N224" s="1296"/>
      <c r="O224" s="1296"/>
      <c r="P224" s="1296"/>
      <c r="Q224" s="1296"/>
      <c r="R224" s="1296"/>
    </row>
    <row r="225" spans="2:18" ht="16.5" customHeight="1">
      <c r="B225" s="1296" t="s">
        <v>1128</v>
      </c>
      <c r="C225" s="1296"/>
      <c r="D225" s="1296"/>
      <c r="E225" s="1296"/>
      <c r="F225" s="1296"/>
      <c r="G225" s="1296"/>
      <c r="H225" s="1296"/>
      <c r="I225" s="1296"/>
      <c r="J225" s="1296"/>
      <c r="K225" s="1296"/>
      <c r="L225" s="1296"/>
      <c r="M225" s="1296"/>
      <c r="N225" s="1296"/>
      <c r="O225" s="1296"/>
      <c r="P225" s="1296"/>
      <c r="Q225" s="1296"/>
      <c r="R225" s="1296"/>
    </row>
    <row r="226" spans="2:18" ht="16.5" customHeight="1">
      <c r="B226" s="1296" t="s">
        <v>1431</v>
      </c>
      <c r="C226" s="1296"/>
      <c r="D226" s="1296"/>
      <c r="E226" s="1296"/>
      <c r="F226" s="1296"/>
      <c r="G226" s="1296"/>
      <c r="H226" s="1296"/>
      <c r="I226" s="1296"/>
      <c r="J226" s="1296"/>
      <c r="K226" s="1296"/>
      <c r="L226" s="1296"/>
      <c r="M226" s="1296"/>
      <c r="N226" s="1296"/>
      <c r="O226" s="1296"/>
      <c r="P226" s="1296"/>
      <c r="Q226" s="1296"/>
      <c r="R226" s="1296"/>
    </row>
    <row r="227" spans="2:18" ht="33.75" customHeight="1">
      <c r="B227" s="1296" t="s">
        <v>1129</v>
      </c>
      <c r="C227" s="1296"/>
      <c r="D227" s="1296"/>
      <c r="E227" s="1296"/>
      <c r="F227" s="1296"/>
      <c r="G227" s="1296"/>
      <c r="H227" s="1296"/>
      <c r="I227" s="1296"/>
      <c r="J227" s="1296"/>
      <c r="K227" s="1296"/>
      <c r="L227" s="1296"/>
      <c r="M227" s="1296"/>
      <c r="N227" s="1296"/>
      <c r="O227" s="1296"/>
      <c r="P227" s="1296"/>
      <c r="Q227" s="1296"/>
      <c r="R227" s="1296"/>
    </row>
    <row r="228" spans="2:18" ht="33.75" customHeight="1">
      <c r="B228" s="1296" t="s">
        <v>1130</v>
      </c>
      <c r="C228" s="1296"/>
      <c r="D228" s="1296"/>
      <c r="E228" s="1296"/>
      <c r="F228" s="1296"/>
      <c r="G228" s="1296"/>
      <c r="H228" s="1296"/>
      <c r="I228" s="1296"/>
      <c r="J228" s="1296"/>
      <c r="K228" s="1296"/>
      <c r="L228" s="1296"/>
      <c r="M228" s="1296"/>
      <c r="N228" s="1296"/>
      <c r="O228" s="1296"/>
      <c r="P228" s="1296"/>
      <c r="Q228" s="1296"/>
      <c r="R228" s="1296"/>
    </row>
    <row r="229" spans="2:18" ht="33.75" customHeight="1">
      <c r="B229" s="1296" t="s">
        <v>1682</v>
      </c>
      <c r="C229" s="1296"/>
      <c r="D229" s="1296"/>
      <c r="E229" s="1296"/>
      <c r="F229" s="1296"/>
      <c r="G229" s="1296"/>
      <c r="H229" s="1296"/>
      <c r="I229" s="1296"/>
      <c r="J229" s="1296"/>
      <c r="K229" s="1296"/>
      <c r="L229" s="1296"/>
      <c r="M229" s="1296"/>
      <c r="N229" s="1296"/>
      <c r="O229" s="1296"/>
      <c r="P229" s="1296"/>
      <c r="Q229" s="1296"/>
      <c r="R229" s="1296"/>
    </row>
    <row r="230" spans="2:18" ht="33.75" customHeight="1">
      <c r="B230" s="1296" t="s">
        <v>1144</v>
      </c>
      <c r="C230" s="1296"/>
      <c r="D230" s="1296"/>
      <c r="E230" s="1296"/>
      <c r="F230" s="1296"/>
      <c r="G230" s="1296"/>
      <c r="H230" s="1296"/>
      <c r="I230" s="1296"/>
      <c r="J230" s="1296"/>
      <c r="K230" s="1296"/>
      <c r="L230" s="1296"/>
      <c r="M230" s="1296"/>
      <c r="N230" s="1296"/>
      <c r="O230" s="1296"/>
      <c r="P230" s="1296"/>
      <c r="Q230" s="1296"/>
      <c r="R230" s="1296"/>
    </row>
    <row r="231" spans="2:18" ht="33.75" customHeight="1">
      <c r="B231" s="1296" t="s">
        <v>1131</v>
      </c>
      <c r="C231" s="1296"/>
      <c r="D231" s="1296"/>
      <c r="E231" s="1296"/>
      <c r="F231" s="1296"/>
      <c r="G231" s="1296"/>
      <c r="H231" s="1296"/>
      <c r="I231" s="1296"/>
      <c r="J231" s="1296"/>
      <c r="K231" s="1296"/>
      <c r="L231" s="1296"/>
      <c r="M231" s="1296"/>
      <c r="N231" s="1296"/>
      <c r="O231" s="1296"/>
      <c r="P231" s="1296"/>
      <c r="Q231" s="1296"/>
      <c r="R231" s="1296"/>
    </row>
    <row r="232" spans="2:18" ht="16.5" customHeight="1">
      <c r="B232" s="1296" t="s">
        <v>1145</v>
      </c>
      <c r="C232" s="1296"/>
      <c r="D232" s="1296"/>
      <c r="E232" s="1296"/>
      <c r="F232" s="1296"/>
      <c r="G232" s="1296"/>
      <c r="H232" s="1296"/>
      <c r="I232" s="1296"/>
      <c r="J232" s="1296"/>
      <c r="K232" s="1296"/>
      <c r="L232" s="1296"/>
      <c r="M232" s="1296"/>
      <c r="N232" s="1296"/>
      <c r="O232" s="1296"/>
      <c r="P232" s="1296"/>
      <c r="Q232" s="1296"/>
      <c r="R232" s="1296"/>
    </row>
    <row r="233" spans="2:18" ht="33.75" customHeight="1">
      <c r="B233" s="1296" t="s">
        <v>1146</v>
      </c>
      <c r="C233" s="1296"/>
      <c r="D233" s="1296"/>
      <c r="E233" s="1296"/>
      <c r="F233" s="1296"/>
      <c r="G233" s="1296"/>
      <c r="H233" s="1296"/>
      <c r="I233" s="1296"/>
      <c r="J233" s="1296"/>
      <c r="K233" s="1296"/>
      <c r="L233" s="1296"/>
      <c r="M233" s="1296"/>
      <c r="N233" s="1296"/>
      <c r="O233" s="1296"/>
      <c r="P233" s="1296"/>
      <c r="Q233" s="1296"/>
      <c r="R233" s="1296"/>
    </row>
    <row r="234" spans="2:18" ht="32.25" customHeight="1">
      <c r="B234" s="1296" t="s">
        <v>1147</v>
      </c>
      <c r="C234" s="1296"/>
      <c r="D234" s="1296"/>
      <c r="E234" s="1296"/>
      <c r="F234" s="1296"/>
      <c r="G234" s="1296"/>
      <c r="H234" s="1296"/>
      <c r="I234" s="1296"/>
      <c r="J234" s="1296"/>
      <c r="K234" s="1296"/>
      <c r="L234" s="1296"/>
      <c r="M234" s="1296"/>
      <c r="N234" s="1296"/>
      <c r="O234" s="1296"/>
      <c r="P234" s="1296"/>
      <c r="Q234" s="1296"/>
      <c r="R234" s="1296"/>
    </row>
    <row r="235" spans="2:18" ht="45" customHeight="1">
      <c r="B235" s="1296" t="s">
        <v>1132</v>
      </c>
      <c r="C235" s="1296"/>
      <c r="D235" s="1296"/>
      <c r="E235" s="1296"/>
      <c r="F235" s="1296"/>
      <c r="G235" s="1296"/>
      <c r="H235" s="1296"/>
      <c r="I235" s="1296"/>
      <c r="J235" s="1296"/>
      <c r="K235" s="1296"/>
      <c r="L235" s="1296"/>
      <c r="M235" s="1296"/>
      <c r="N235" s="1296"/>
      <c r="O235" s="1296"/>
      <c r="P235" s="1296"/>
      <c r="Q235" s="1296"/>
      <c r="R235" s="1296"/>
    </row>
    <row r="236" spans="2:18" ht="45" customHeight="1">
      <c r="B236" s="1296" t="s">
        <v>1133</v>
      </c>
      <c r="C236" s="1296"/>
      <c r="D236" s="1296"/>
      <c r="E236" s="1296"/>
      <c r="F236" s="1296"/>
      <c r="G236" s="1296"/>
      <c r="H236" s="1296"/>
      <c r="I236" s="1296"/>
      <c r="J236" s="1296"/>
      <c r="K236" s="1296"/>
      <c r="L236" s="1296"/>
      <c r="M236" s="1296"/>
      <c r="N236" s="1296"/>
      <c r="O236" s="1296"/>
      <c r="P236" s="1296"/>
      <c r="Q236" s="1296"/>
      <c r="R236" s="1296"/>
    </row>
    <row r="237" spans="2:18" ht="34.5" customHeight="1">
      <c r="B237" s="1296" t="s">
        <v>1134</v>
      </c>
      <c r="C237" s="1296"/>
      <c r="D237" s="1296"/>
      <c r="E237" s="1296"/>
      <c r="F237" s="1296"/>
      <c r="G237" s="1296"/>
      <c r="H237" s="1296"/>
      <c r="I237" s="1296"/>
      <c r="J237" s="1296"/>
      <c r="K237" s="1296"/>
      <c r="L237" s="1296"/>
      <c r="M237" s="1296"/>
      <c r="N237" s="1296"/>
      <c r="O237" s="1296"/>
      <c r="P237" s="1296"/>
      <c r="Q237" s="1296"/>
      <c r="R237" s="1296"/>
    </row>
  </sheetData>
  <sheetProtection algorithmName="SHA-512" hashValue="B4P4ubPynEhLQXBQ27inBVam+qSYCuSlSm3UfGUp/7UxQkwo+MJdm6G8t3zAvvf7aouX9l+botlhkdem44Buiw==" saltValue="/YMWzoCOWTbSGNFqcWR2Jg==" spinCount="100000" sheet="1" objects="1" scenarios="1"/>
  <mergeCells count="129">
    <mergeCell ref="B236:R236"/>
    <mergeCell ref="B237:R237"/>
    <mergeCell ref="B133:R133"/>
    <mergeCell ref="B8:I8"/>
    <mergeCell ref="K22:M22"/>
    <mergeCell ref="K86:M86"/>
    <mergeCell ref="K91:M91"/>
    <mergeCell ref="K191:M191"/>
    <mergeCell ref="K203:M203"/>
    <mergeCell ref="J212:L212"/>
    <mergeCell ref="B89:C89"/>
    <mergeCell ref="B231:R231"/>
    <mergeCell ref="B232:R232"/>
    <mergeCell ref="B233:R233"/>
    <mergeCell ref="B234:R234"/>
    <mergeCell ref="B235:R235"/>
    <mergeCell ref="B226:R226"/>
    <mergeCell ref="B227:R227"/>
    <mergeCell ref="B228:R228"/>
    <mergeCell ref="B229:R229"/>
    <mergeCell ref="B230:R230"/>
    <mergeCell ref="B221:R221"/>
    <mergeCell ref="B222:R222"/>
    <mergeCell ref="B223:R223"/>
    <mergeCell ref="B224:R224"/>
    <mergeCell ref="B225:R225"/>
    <mergeCell ref="B216:R216"/>
    <mergeCell ref="B217:R217"/>
    <mergeCell ref="B218:R218"/>
    <mergeCell ref="B219:R219"/>
    <mergeCell ref="B220:R220"/>
    <mergeCell ref="B206:R206"/>
    <mergeCell ref="B208:R208"/>
    <mergeCell ref="B210:R210"/>
    <mergeCell ref="B215:R215"/>
    <mergeCell ref="B214:R214"/>
    <mergeCell ref="B212:D212"/>
    <mergeCell ref="B213:R213"/>
    <mergeCell ref="B192:R192"/>
    <mergeCell ref="B195:R195"/>
    <mergeCell ref="B198:R198"/>
    <mergeCell ref="B201:R201"/>
    <mergeCell ref="B204:R204"/>
    <mergeCell ref="J146:R150"/>
    <mergeCell ref="B163:R163"/>
    <mergeCell ref="B168:R168"/>
    <mergeCell ref="K176:R179"/>
    <mergeCell ref="B191:G191"/>
    <mergeCell ref="B203:H203"/>
    <mergeCell ref="I116:R119"/>
    <mergeCell ref="B131:R131"/>
    <mergeCell ref="B135:R135"/>
    <mergeCell ref="B138:R138"/>
    <mergeCell ref="B161:R161"/>
    <mergeCell ref="B96:R96"/>
    <mergeCell ref="B101:R101"/>
    <mergeCell ref="B104:R104"/>
    <mergeCell ref="B106:R106"/>
    <mergeCell ref="B109:R109"/>
    <mergeCell ref="B94:R94"/>
    <mergeCell ref="J52:K52"/>
    <mergeCell ref="J53:K55"/>
    <mergeCell ref="J56:K56"/>
    <mergeCell ref="J57:K57"/>
    <mergeCell ref="J58:K60"/>
    <mergeCell ref="L56:N57"/>
    <mergeCell ref="B58:D60"/>
    <mergeCell ref="G58:I60"/>
    <mergeCell ref="L58:N60"/>
    <mergeCell ref="B56:D57"/>
    <mergeCell ref="G56:I57"/>
    <mergeCell ref="E56:F56"/>
    <mergeCell ref="E57:F57"/>
    <mergeCell ref="E58:F60"/>
    <mergeCell ref="L61:N62"/>
    <mergeCell ref="B63:D65"/>
    <mergeCell ref="G63:I65"/>
    <mergeCell ref="L63:N65"/>
    <mergeCell ref="B61:D62"/>
    <mergeCell ref="G61:I62"/>
    <mergeCell ref="E61:F61"/>
    <mergeCell ref="E62:F62"/>
    <mergeCell ref="E63:F65"/>
    <mergeCell ref="B1:C1"/>
    <mergeCell ref="D1:E1"/>
    <mergeCell ref="B4:I4"/>
    <mergeCell ref="B5:I5"/>
    <mergeCell ref="B6:I6"/>
    <mergeCell ref="B7:I7"/>
    <mergeCell ref="B9:I9"/>
    <mergeCell ref="E46:F46"/>
    <mergeCell ref="J46:K46"/>
    <mergeCell ref="B11:R11"/>
    <mergeCell ref="B16:R16"/>
    <mergeCell ref="B43:R43"/>
    <mergeCell ref="B46:D47"/>
    <mergeCell ref="G46:I47"/>
    <mergeCell ref="E47:F47"/>
    <mergeCell ref="J47:K47"/>
    <mergeCell ref="L46:N47"/>
    <mergeCell ref="B48:D50"/>
    <mergeCell ref="G48:I50"/>
    <mergeCell ref="L48:N50"/>
    <mergeCell ref="E48:F50"/>
    <mergeCell ref="J48:K50"/>
    <mergeCell ref="L51:N52"/>
    <mergeCell ref="B53:D55"/>
    <mergeCell ref="G53:I55"/>
    <mergeCell ref="L53:N55"/>
    <mergeCell ref="B51:D52"/>
    <mergeCell ref="G51:I52"/>
    <mergeCell ref="E51:F51"/>
    <mergeCell ref="E52:F52"/>
    <mergeCell ref="E53:F55"/>
    <mergeCell ref="J51:K51"/>
    <mergeCell ref="J61:K61"/>
    <mergeCell ref="B76:R76"/>
    <mergeCell ref="B82:R82"/>
    <mergeCell ref="B73:R73"/>
    <mergeCell ref="B66:D67"/>
    <mergeCell ref="G66:I67"/>
    <mergeCell ref="L66:N67"/>
    <mergeCell ref="E66:F66"/>
    <mergeCell ref="E67:F67"/>
    <mergeCell ref="J62:K62"/>
    <mergeCell ref="J63:K65"/>
    <mergeCell ref="J66:K66"/>
    <mergeCell ref="J67:K67"/>
    <mergeCell ref="B75:E75"/>
  </mergeCells>
  <hyperlinks>
    <hyperlink ref="J2" location="'Front Page'!A1" display="Return to Front Page" xr:uid="{00000000-0004-0000-0A00-000000000000}"/>
    <hyperlink ref="B15" r:id="rId1" display="http://www.environment.gov.au/resource/australian-and-new-zealand-guidelines-fresh-and-marine-water-quality-volume-1-guidelines" xr:uid="{00000000-0004-0000-0A00-000001000000}"/>
    <hyperlink ref="B19" r:id="rId2" display="https://publications.qld.gov.au/dataset/salinity-management-handbook" xr:uid="{00000000-0004-0000-0A00-000002000000}"/>
    <hyperlink ref="B98" r:id="rId3" xr:uid="{00000000-0004-0000-0A00-000003000000}"/>
    <hyperlink ref="B4:I4" location="'Background &amp; Theory'!A42" display="1.    Concept of soil behaviour and response to irrigation" xr:uid="{00000000-0004-0000-0A00-000004000000}"/>
    <hyperlink ref="B5:I5" location="'Background &amp; Theory'!A102" display="2.    Equations used in SALF2" xr:uid="{00000000-0004-0000-0A00-000005000000}"/>
    <hyperlink ref="B6:I6" location="'Background &amp; Theory'!A104" display="3.    Notes and common questions on input parameters and sodicty " xr:uid="{00000000-0004-0000-0A00-000006000000}"/>
    <hyperlink ref="B7:I7" location="'Background &amp; Theory'!A209" display="4.    Other irrigation water quality guidelines" xr:uid="{00000000-0004-0000-0A00-000007000000}"/>
    <hyperlink ref="B8" location="'Background &amp; Theory'!A209" display="5. Models – predictions, accuracy and uncertainty" xr:uid="{00000000-0004-0000-0A00-000008000000}"/>
    <hyperlink ref="B9:I9" location="'Background &amp; Theory'!A230" display="6.    References" xr:uid="{00000000-0004-0000-0A00-000009000000}"/>
    <hyperlink ref="B8:I8" location="'Background &amp; Theory'!A219" display="5.    Models – predictions, accuracy and uncertainty" xr:uid="{00000000-0004-0000-0A00-00000A000000}"/>
    <hyperlink ref="J212" location="'Background &amp; Theory'!A1" display="Return to Top of Page" xr:uid="{00000000-0004-0000-0A00-00000B000000}"/>
    <hyperlink ref="K203" location="'Background &amp; Theory'!A1" display="Return to Top of Page" xr:uid="{00000000-0004-0000-0A00-00000C000000}"/>
    <hyperlink ref="K191" location="'Background &amp; Theory'!A1" display="Return to Top of Page" xr:uid="{00000000-0004-0000-0A00-00000D000000}"/>
    <hyperlink ref="K91" location="'Background &amp; Theory'!A1" display="Return to Top of Page" xr:uid="{00000000-0004-0000-0A00-00000E000000}"/>
    <hyperlink ref="K86" location="'Background &amp; Theory'!A1" display="Return to Top of Page" xr:uid="{00000000-0004-0000-0A00-00000F000000}"/>
    <hyperlink ref="K22" location="'Background &amp; Theory'!A1" display="Return to Top of Page" xr:uid="{00000000-0004-0000-0A00-000010000000}"/>
    <hyperlink ref="B89" location="Equations!A1" display="Go to Equations Page" xr:uid="{00000000-0004-0000-0A00-000011000000}"/>
  </hyperlinks>
  <pageMargins left="0.23622047244094488" right="0.23622047244094488" top="0.23622047244094488" bottom="0.23622047244094488" header="0.31496062992125984" footer="0.31496062992125984"/>
  <pageSetup paperSize="9" scale="85" fitToWidth="0" fitToHeight="0" orientation="landscape" r:id="rId4"/>
  <colBreaks count="1" manualBreakCount="1">
    <brk id="18" max="1048575" man="1"/>
  </col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B1:R34"/>
  <sheetViews>
    <sheetView workbookViewId="0">
      <selection activeCell="B8" sqref="B8:R8"/>
    </sheetView>
  </sheetViews>
  <sheetFormatPr defaultRowHeight="14.5"/>
  <cols>
    <col min="1" max="1" width="2.81640625" customWidth="1"/>
    <col min="19" max="19" width="4" customWidth="1"/>
  </cols>
  <sheetData>
    <row r="1" spans="2:18" ht="15" thickBot="1">
      <c r="B1" s="964" t="str">
        <f>'Front Page'!C1</f>
        <v>Printed on</v>
      </c>
      <c r="C1" s="964"/>
      <c r="D1" s="965">
        <f ca="1">'Front Page'!E1</f>
        <v>44610.35418101852</v>
      </c>
      <c r="E1" s="965"/>
    </row>
    <row r="2" spans="2:18" s="59" customFormat="1" ht="31">
      <c r="B2" s="536" t="s">
        <v>656</v>
      </c>
      <c r="C2" s="165"/>
      <c r="D2" s="165"/>
      <c r="E2" s="165"/>
      <c r="F2" s="165"/>
      <c r="G2" s="165"/>
      <c r="H2" s="165"/>
      <c r="I2" s="165"/>
      <c r="J2" s="197" t="s">
        <v>654</v>
      </c>
      <c r="K2" s="165"/>
      <c r="L2" s="165"/>
      <c r="M2" s="165"/>
      <c r="N2" s="165"/>
      <c r="O2" s="165"/>
      <c r="P2" s="165"/>
      <c r="Q2" s="165"/>
      <c r="R2" s="166"/>
    </row>
    <row r="3" spans="2:18" s="59" customFormat="1">
      <c r="B3" s="169"/>
      <c r="C3" s="161"/>
      <c r="D3" s="161"/>
      <c r="E3" s="161"/>
      <c r="F3" s="161"/>
      <c r="G3" s="161"/>
      <c r="H3" s="161"/>
      <c r="I3" s="161"/>
      <c r="J3" s="161"/>
      <c r="K3" s="161"/>
      <c r="L3" s="161"/>
      <c r="M3" s="161"/>
      <c r="N3" s="161"/>
      <c r="O3" s="161"/>
      <c r="P3" s="161"/>
      <c r="Q3" s="161"/>
      <c r="R3" s="168"/>
    </row>
    <row r="4" spans="2:18">
      <c r="B4" s="537" t="s">
        <v>588</v>
      </c>
      <c r="C4" s="161"/>
      <c r="D4" s="161"/>
      <c r="E4" s="161"/>
      <c r="F4" s="161"/>
      <c r="G4" s="161"/>
      <c r="H4" s="161"/>
      <c r="I4" s="161"/>
      <c r="J4" s="161"/>
      <c r="K4" s="161"/>
      <c r="L4" s="161"/>
      <c r="M4" s="161"/>
      <c r="N4" s="161"/>
      <c r="O4" s="161"/>
      <c r="P4" s="161"/>
      <c r="Q4" s="161"/>
      <c r="R4" s="168"/>
    </row>
    <row r="5" spans="2:18">
      <c r="B5" s="169"/>
      <c r="C5" s="161"/>
      <c r="D5" s="161"/>
      <c r="E5" s="161"/>
      <c r="F5" s="161"/>
      <c r="G5" s="161"/>
      <c r="H5" s="161"/>
      <c r="I5" s="161"/>
      <c r="J5" s="161"/>
      <c r="K5" s="161"/>
      <c r="L5" s="161"/>
      <c r="M5" s="161"/>
      <c r="N5" s="161"/>
      <c r="O5" s="161"/>
      <c r="P5" s="161"/>
      <c r="Q5" s="161"/>
      <c r="R5" s="168"/>
    </row>
    <row r="6" spans="2:18" ht="60" customHeight="1">
      <c r="B6" s="1301" t="s">
        <v>589</v>
      </c>
      <c r="C6" s="1302"/>
      <c r="D6" s="1302"/>
      <c r="E6" s="1302"/>
      <c r="F6" s="1302"/>
      <c r="G6" s="1302"/>
      <c r="H6" s="1302"/>
      <c r="I6" s="1302"/>
      <c r="J6" s="1302"/>
      <c r="K6" s="1302"/>
      <c r="L6" s="1302"/>
      <c r="M6" s="1302"/>
      <c r="N6" s="1302"/>
      <c r="O6" s="1302"/>
      <c r="P6" s="1302"/>
      <c r="Q6" s="1302"/>
      <c r="R6" s="1303"/>
    </row>
    <row r="7" spans="2:18" ht="51.75" customHeight="1">
      <c r="B7" s="1301" t="s">
        <v>590</v>
      </c>
      <c r="C7" s="1302"/>
      <c r="D7" s="1302"/>
      <c r="E7" s="1302"/>
      <c r="F7" s="1302"/>
      <c r="G7" s="1302"/>
      <c r="H7" s="1302"/>
      <c r="I7" s="1302"/>
      <c r="J7" s="1302"/>
      <c r="K7" s="1302"/>
      <c r="L7" s="1302"/>
      <c r="M7" s="1302"/>
      <c r="N7" s="1302"/>
      <c r="O7" s="1302"/>
      <c r="P7" s="1302"/>
      <c r="Q7" s="1302"/>
      <c r="R7" s="1303"/>
    </row>
    <row r="8" spans="2:18" s="832" customFormat="1" ht="56" customHeight="1">
      <c r="B8" s="1304" t="s">
        <v>1669</v>
      </c>
      <c r="C8" s="1305"/>
      <c r="D8" s="1305"/>
      <c r="E8" s="1305"/>
      <c r="F8" s="1305"/>
      <c r="G8" s="1305"/>
      <c r="H8" s="1305"/>
      <c r="I8" s="1305"/>
      <c r="J8" s="1305"/>
      <c r="K8" s="1305"/>
      <c r="L8" s="1305"/>
      <c r="M8" s="1305"/>
      <c r="N8" s="1305"/>
      <c r="O8" s="1305"/>
      <c r="P8" s="1305"/>
      <c r="Q8" s="1305"/>
      <c r="R8" s="1306"/>
    </row>
    <row r="9" spans="2:18" ht="39.75" customHeight="1">
      <c r="B9" s="1301" t="s">
        <v>1665</v>
      </c>
      <c r="C9" s="1302"/>
      <c r="D9" s="1302"/>
      <c r="E9" s="1302"/>
      <c r="F9" s="1302"/>
      <c r="G9" s="1302"/>
      <c r="H9" s="1302"/>
      <c r="I9" s="1302"/>
      <c r="J9" s="1302"/>
      <c r="K9" s="1302"/>
      <c r="L9" s="1302"/>
      <c r="M9" s="1302"/>
      <c r="N9" s="1302"/>
      <c r="O9" s="1302"/>
      <c r="P9" s="1302"/>
      <c r="Q9" s="1302"/>
      <c r="R9" s="1303"/>
    </row>
    <row r="10" spans="2:18" ht="38.25" customHeight="1">
      <c r="B10" s="1301" t="s">
        <v>1666</v>
      </c>
      <c r="C10" s="1302"/>
      <c r="D10" s="1302"/>
      <c r="E10" s="1302"/>
      <c r="F10" s="1302"/>
      <c r="G10" s="1302"/>
      <c r="H10" s="1302"/>
      <c r="I10" s="1302"/>
      <c r="J10" s="1302"/>
      <c r="K10" s="1302"/>
      <c r="L10" s="1302"/>
      <c r="M10" s="1302"/>
      <c r="N10" s="1302"/>
      <c r="O10" s="1302"/>
      <c r="P10" s="1302"/>
      <c r="Q10" s="1302"/>
      <c r="R10" s="1303"/>
    </row>
    <row r="11" spans="2:18" ht="42" customHeight="1">
      <c r="B11" s="1301" t="s">
        <v>1667</v>
      </c>
      <c r="C11" s="1302"/>
      <c r="D11" s="1302"/>
      <c r="E11" s="1302"/>
      <c r="F11" s="1302"/>
      <c r="G11" s="1302"/>
      <c r="H11" s="1302"/>
      <c r="I11" s="1302"/>
      <c r="J11" s="1302"/>
      <c r="K11" s="1302"/>
      <c r="L11" s="1302"/>
      <c r="M11" s="1302"/>
      <c r="N11" s="1302"/>
      <c r="O11" s="1302"/>
      <c r="P11" s="1302"/>
      <c r="Q11" s="1302"/>
      <c r="R11" s="1303"/>
    </row>
    <row r="12" spans="2:18" ht="49.65" customHeight="1">
      <c r="B12" s="1301" t="s">
        <v>591</v>
      </c>
      <c r="C12" s="1302"/>
      <c r="D12" s="1302"/>
      <c r="E12" s="1302"/>
      <c r="F12" s="1302"/>
      <c r="G12" s="1302"/>
      <c r="H12" s="1302"/>
      <c r="I12" s="1302"/>
      <c r="J12" s="1302"/>
      <c r="K12" s="1302"/>
      <c r="L12" s="1302"/>
      <c r="M12" s="1302"/>
      <c r="N12" s="1302"/>
      <c r="O12" s="1302"/>
      <c r="P12" s="1302"/>
      <c r="Q12" s="1302"/>
      <c r="R12" s="1303"/>
    </row>
    <row r="13" spans="2:18">
      <c r="B13" s="169"/>
      <c r="C13" s="161"/>
      <c r="D13" s="161"/>
      <c r="E13" s="161"/>
      <c r="F13" s="161"/>
      <c r="G13" s="161"/>
      <c r="H13" s="161"/>
      <c r="I13" s="161"/>
      <c r="J13" s="161"/>
      <c r="K13" s="161"/>
      <c r="L13" s="161"/>
      <c r="M13" s="161"/>
      <c r="N13" s="161"/>
      <c r="O13" s="161"/>
      <c r="P13" s="161"/>
      <c r="Q13" s="161"/>
      <c r="R13" s="168"/>
    </row>
    <row r="14" spans="2:18">
      <c r="B14" s="538" t="s">
        <v>592</v>
      </c>
      <c r="C14" s="161"/>
      <c r="D14" s="161"/>
      <c r="E14" s="161"/>
      <c r="F14" s="161"/>
      <c r="G14" s="161"/>
      <c r="H14" s="161"/>
      <c r="I14" s="161"/>
      <c r="J14" s="161"/>
      <c r="K14" s="161"/>
      <c r="L14" s="161"/>
      <c r="M14" s="161"/>
      <c r="N14" s="161"/>
      <c r="O14" s="161"/>
      <c r="P14" s="161"/>
      <c r="Q14" s="161"/>
      <c r="R14" s="168"/>
    </row>
    <row r="15" spans="2:18">
      <c r="B15" s="539"/>
      <c r="C15" s="161"/>
      <c r="D15" s="161"/>
      <c r="E15" s="161"/>
      <c r="F15" s="161"/>
      <c r="G15" s="161"/>
      <c r="H15" s="161"/>
      <c r="I15" s="161"/>
      <c r="J15" s="161"/>
      <c r="K15" s="161"/>
      <c r="L15" s="161"/>
      <c r="M15" s="161"/>
      <c r="N15" s="161"/>
      <c r="O15" s="161"/>
      <c r="P15" s="161"/>
      <c r="Q15" s="161"/>
      <c r="R15" s="168"/>
    </row>
    <row r="16" spans="2:18" ht="33" customHeight="1">
      <c r="B16" s="1301" t="s">
        <v>1670</v>
      </c>
      <c r="C16" s="1302"/>
      <c r="D16" s="1302"/>
      <c r="E16" s="1302"/>
      <c r="F16" s="1302"/>
      <c r="G16" s="1302"/>
      <c r="H16" s="1302"/>
      <c r="I16" s="1302"/>
      <c r="J16" s="1302"/>
      <c r="K16" s="1302"/>
      <c r="L16" s="1302"/>
      <c r="M16" s="1302"/>
      <c r="N16" s="1302"/>
      <c r="O16" s="1302"/>
      <c r="P16" s="1302"/>
      <c r="Q16" s="1302"/>
      <c r="R16" s="1303"/>
    </row>
    <row r="17" spans="2:18" ht="37" customHeight="1">
      <c r="B17" s="540" t="s">
        <v>593</v>
      </c>
      <c r="C17" s="161"/>
      <c r="D17" s="161"/>
      <c r="E17" s="161"/>
      <c r="F17" s="161"/>
      <c r="G17" s="161"/>
      <c r="H17" s="161"/>
      <c r="I17" s="161"/>
      <c r="J17" s="161"/>
      <c r="K17" s="161"/>
      <c r="L17" s="161"/>
      <c r="M17" s="161"/>
      <c r="N17" s="161"/>
      <c r="O17" s="161"/>
      <c r="P17" s="161"/>
      <c r="Q17" s="161"/>
      <c r="R17" s="168"/>
    </row>
    <row r="18" spans="2:18" ht="73" customHeight="1">
      <c r="B18" s="1301" t="s">
        <v>594</v>
      </c>
      <c r="C18" s="1302"/>
      <c r="D18" s="1302"/>
      <c r="E18" s="1302"/>
      <c r="F18" s="1302"/>
      <c r="G18" s="1302"/>
      <c r="H18" s="1302"/>
      <c r="I18" s="1302"/>
      <c r="J18" s="1302"/>
      <c r="K18" s="1302"/>
      <c r="L18" s="1302"/>
      <c r="M18" s="1302"/>
      <c r="N18" s="1302"/>
      <c r="O18" s="1302"/>
      <c r="P18" s="1302"/>
      <c r="Q18" s="1302"/>
      <c r="R18" s="1303"/>
    </row>
    <row r="19" spans="2:18">
      <c r="B19" s="539"/>
      <c r="C19" s="161"/>
      <c r="D19" s="161"/>
      <c r="E19" s="161"/>
      <c r="F19" s="161"/>
      <c r="G19" s="161"/>
      <c r="H19" s="161"/>
      <c r="I19" s="161"/>
      <c r="J19" s="161"/>
      <c r="K19" s="161"/>
      <c r="L19" s="161"/>
      <c r="M19" s="161"/>
      <c r="N19" s="161"/>
      <c r="O19" s="161"/>
      <c r="P19" s="161"/>
      <c r="Q19" s="161"/>
      <c r="R19" s="168"/>
    </row>
    <row r="20" spans="2:18" ht="48.75" customHeight="1">
      <c r="B20" s="1301" t="s">
        <v>595</v>
      </c>
      <c r="C20" s="1302"/>
      <c r="D20" s="1302"/>
      <c r="E20" s="1302"/>
      <c r="F20" s="1302"/>
      <c r="G20" s="1302"/>
      <c r="H20" s="1302"/>
      <c r="I20" s="1302"/>
      <c r="J20" s="1302"/>
      <c r="K20" s="1302"/>
      <c r="L20" s="1302"/>
      <c r="M20" s="1302"/>
      <c r="N20" s="1302"/>
      <c r="O20" s="1302"/>
      <c r="P20" s="1302"/>
      <c r="Q20" s="1302"/>
      <c r="R20" s="1303"/>
    </row>
    <row r="21" spans="2:18" ht="34.5" customHeight="1">
      <c r="B21" s="1301" t="s">
        <v>596</v>
      </c>
      <c r="C21" s="1302"/>
      <c r="D21" s="1302"/>
      <c r="E21" s="1302"/>
      <c r="F21" s="1302"/>
      <c r="G21" s="1302"/>
      <c r="H21" s="1302"/>
      <c r="I21" s="1302"/>
      <c r="J21" s="1302"/>
      <c r="K21" s="1302"/>
      <c r="L21" s="1302"/>
      <c r="M21" s="1302"/>
      <c r="N21" s="1302"/>
      <c r="O21" s="1302"/>
      <c r="P21" s="1302"/>
      <c r="Q21" s="1302"/>
      <c r="R21" s="1303"/>
    </row>
    <row r="22" spans="2:18">
      <c r="B22" s="541"/>
      <c r="C22" s="161"/>
      <c r="D22" s="161"/>
      <c r="E22" s="161"/>
      <c r="F22" s="161"/>
      <c r="G22" s="161"/>
      <c r="H22" s="161"/>
      <c r="I22" s="161"/>
      <c r="J22" s="161"/>
      <c r="K22" s="161"/>
      <c r="L22" s="161"/>
      <c r="M22" s="161"/>
      <c r="N22" s="161"/>
      <c r="O22" s="161"/>
      <c r="P22" s="161"/>
      <c r="Q22" s="161"/>
      <c r="R22" s="168"/>
    </row>
    <row r="23" spans="2:18" ht="59.25" customHeight="1">
      <c r="B23" s="1301" t="s">
        <v>1438</v>
      </c>
      <c r="C23" s="1302"/>
      <c r="D23" s="1302"/>
      <c r="E23" s="1302"/>
      <c r="F23" s="1302"/>
      <c r="G23" s="1302"/>
      <c r="H23" s="1302"/>
      <c r="I23" s="1302"/>
      <c r="J23" s="1302"/>
      <c r="K23" s="1302"/>
      <c r="L23" s="1302"/>
      <c r="M23" s="1302"/>
      <c r="N23" s="1302"/>
      <c r="O23" s="1302"/>
      <c r="P23" s="1302"/>
      <c r="Q23" s="1302"/>
      <c r="R23" s="1303"/>
    </row>
    <row r="24" spans="2:18">
      <c r="B24" s="538"/>
      <c r="C24" s="161"/>
      <c r="D24" s="161"/>
      <c r="E24" s="161"/>
      <c r="F24" s="161"/>
      <c r="G24" s="161"/>
      <c r="H24" s="161"/>
      <c r="I24" s="161"/>
      <c r="J24" s="161"/>
      <c r="K24" s="161"/>
      <c r="L24" s="161"/>
      <c r="M24" s="161"/>
      <c r="N24" s="161"/>
      <c r="O24" s="161"/>
      <c r="P24" s="161"/>
      <c r="Q24" s="161"/>
      <c r="R24" s="168"/>
    </row>
    <row r="25" spans="2:18">
      <c r="B25" s="538" t="s">
        <v>597</v>
      </c>
      <c r="C25" s="161"/>
      <c r="D25" s="161"/>
      <c r="E25" s="161"/>
      <c r="F25" s="161"/>
      <c r="G25" s="161"/>
      <c r="H25" s="161"/>
      <c r="I25" s="161"/>
      <c r="J25" s="161"/>
      <c r="K25" s="161"/>
      <c r="L25" s="161"/>
      <c r="M25" s="161"/>
      <c r="N25" s="161"/>
      <c r="O25" s="161"/>
      <c r="P25" s="161"/>
      <c r="Q25" s="161"/>
      <c r="R25" s="168"/>
    </row>
    <row r="26" spans="2:18" ht="34.5" customHeight="1">
      <c r="B26" s="1301" t="s">
        <v>759</v>
      </c>
      <c r="C26" s="1302"/>
      <c r="D26" s="1302"/>
      <c r="E26" s="1302"/>
      <c r="F26" s="1302"/>
      <c r="G26" s="1302"/>
      <c r="H26" s="1302"/>
      <c r="I26" s="1302"/>
      <c r="J26" s="1302"/>
      <c r="K26" s="1302"/>
      <c r="L26" s="1302"/>
      <c r="M26" s="1302"/>
      <c r="N26" s="1302"/>
      <c r="O26" s="1302"/>
      <c r="P26" s="1302"/>
      <c r="Q26" s="1302"/>
      <c r="R26" s="1303"/>
    </row>
    <row r="27" spans="2:18">
      <c r="B27" s="539"/>
      <c r="C27" s="161"/>
      <c r="D27" s="161"/>
      <c r="E27" s="161"/>
      <c r="F27" s="161"/>
      <c r="G27" s="161"/>
      <c r="H27" s="161"/>
      <c r="I27" s="161"/>
      <c r="J27" s="161"/>
      <c r="K27" s="161"/>
      <c r="L27" s="161"/>
      <c r="M27" s="161"/>
      <c r="N27" s="161"/>
      <c r="O27" s="161"/>
      <c r="P27" s="161"/>
      <c r="Q27" s="161"/>
      <c r="R27" s="168"/>
    </row>
    <row r="28" spans="2:18">
      <c r="B28" s="1301" t="s">
        <v>1419</v>
      </c>
      <c r="C28" s="1302"/>
      <c r="D28" s="1302"/>
      <c r="E28" s="1302"/>
      <c r="F28" s="1302"/>
      <c r="G28" s="1302"/>
      <c r="H28" s="1302"/>
      <c r="I28" s="1302"/>
      <c r="J28" s="1302"/>
      <c r="K28" s="1302"/>
      <c r="L28" s="1302"/>
      <c r="M28" s="1302"/>
      <c r="N28" s="1302"/>
      <c r="O28" s="1302"/>
      <c r="P28" s="1302"/>
      <c r="Q28" s="1302"/>
      <c r="R28" s="1303"/>
    </row>
    <row r="29" spans="2:18">
      <c r="B29" s="539"/>
      <c r="C29" s="161"/>
      <c r="D29" s="161"/>
      <c r="E29" s="161"/>
      <c r="F29" s="161"/>
      <c r="G29" s="161"/>
      <c r="H29" s="161"/>
      <c r="I29" s="161"/>
      <c r="J29" s="161"/>
      <c r="K29" s="161"/>
      <c r="L29" s="161"/>
      <c r="M29" s="161"/>
      <c r="N29" s="161"/>
      <c r="O29" s="161"/>
      <c r="P29" s="161"/>
      <c r="Q29" s="161"/>
      <c r="R29" s="168"/>
    </row>
    <row r="30" spans="2:18">
      <c r="B30" s="540" t="s">
        <v>593</v>
      </c>
      <c r="C30" s="161"/>
      <c r="D30" s="161"/>
      <c r="E30" s="161"/>
      <c r="F30" s="161"/>
      <c r="G30" s="161"/>
      <c r="H30" s="161"/>
      <c r="I30" s="161"/>
      <c r="J30" s="161"/>
      <c r="K30" s="161"/>
      <c r="L30" s="161"/>
      <c r="M30" s="161"/>
      <c r="N30" s="161"/>
      <c r="O30" s="161"/>
      <c r="P30" s="161"/>
      <c r="Q30" s="161"/>
      <c r="R30" s="168"/>
    </row>
    <row r="31" spans="2:18" ht="34.5" customHeight="1">
      <c r="B31" s="1301" t="s">
        <v>598</v>
      </c>
      <c r="C31" s="1302"/>
      <c r="D31" s="1302"/>
      <c r="E31" s="1302"/>
      <c r="F31" s="1302"/>
      <c r="G31" s="1302"/>
      <c r="H31" s="1302"/>
      <c r="I31" s="1302"/>
      <c r="J31" s="1302"/>
      <c r="K31" s="1302"/>
      <c r="L31" s="1302"/>
      <c r="M31" s="1302"/>
      <c r="N31" s="1302"/>
      <c r="O31" s="1302"/>
      <c r="P31" s="1302"/>
      <c r="Q31" s="1302"/>
      <c r="R31" s="1303"/>
    </row>
    <row r="32" spans="2:18" ht="33" customHeight="1">
      <c r="B32" s="1301" t="s">
        <v>1420</v>
      </c>
      <c r="C32" s="1302"/>
      <c r="D32" s="1302"/>
      <c r="E32" s="1302"/>
      <c r="F32" s="1302"/>
      <c r="G32" s="1302"/>
      <c r="H32" s="1302"/>
      <c r="I32" s="1302"/>
      <c r="J32" s="1302"/>
      <c r="K32" s="1302"/>
      <c r="L32" s="1302"/>
      <c r="M32" s="1302"/>
      <c r="N32" s="1302"/>
      <c r="O32" s="1302"/>
      <c r="P32" s="1302"/>
      <c r="Q32" s="1302"/>
      <c r="R32" s="1303"/>
    </row>
    <row r="33" spans="2:18" ht="77.25" customHeight="1">
      <c r="B33" s="1301" t="s">
        <v>1421</v>
      </c>
      <c r="C33" s="1302"/>
      <c r="D33" s="1302"/>
      <c r="E33" s="1302"/>
      <c r="F33" s="1302"/>
      <c r="G33" s="1302"/>
      <c r="H33" s="1302"/>
      <c r="I33" s="1302"/>
      <c r="J33" s="1302"/>
      <c r="K33" s="1302"/>
      <c r="L33" s="1302"/>
      <c r="M33" s="1302"/>
      <c r="N33" s="1302"/>
      <c r="O33" s="1302"/>
      <c r="P33" s="1302"/>
      <c r="Q33" s="1302"/>
      <c r="R33" s="1303"/>
    </row>
    <row r="34" spans="2:18" ht="15" thickBot="1">
      <c r="B34" s="54"/>
      <c r="C34" s="170"/>
      <c r="D34" s="170"/>
      <c r="E34" s="170"/>
      <c r="F34" s="170"/>
      <c r="G34" s="170"/>
      <c r="H34" s="170"/>
      <c r="I34" s="170"/>
      <c r="J34" s="170"/>
      <c r="K34" s="170"/>
      <c r="L34" s="170"/>
      <c r="M34" s="170"/>
      <c r="N34" s="170"/>
      <c r="O34" s="170"/>
      <c r="P34" s="170"/>
      <c r="Q34" s="170"/>
      <c r="R34" s="171"/>
    </row>
  </sheetData>
  <sheetProtection algorithmName="SHA-512" hashValue="23o+1SvLZB+TmM25N0TWALY1qeTlJ+fjTqeKzQDhbh1z58NtQEw3AM0vYFqiiK06e35Gx7f5XwvovdljLGJ/Dw==" saltValue="nqFMQBABfEcMYSJBxtfBXw==" spinCount="100000" sheet="1" objects="1" scenarios="1"/>
  <mergeCells count="19">
    <mergeCell ref="B28:R28"/>
    <mergeCell ref="B31:R31"/>
    <mergeCell ref="B32:R32"/>
    <mergeCell ref="B33:R33"/>
    <mergeCell ref="B16:R16"/>
    <mergeCell ref="B18:R18"/>
    <mergeCell ref="B20:R20"/>
    <mergeCell ref="B21:R21"/>
    <mergeCell ref="B23:R23"/>
    <mergeCell ref="B26:R26"/>
    <mergeCell ref="B1:C1"/>
    <mergeCell ref="D1:E1"/>
    <mergeCell ref="B12:R12"/>
    <mergeCell ref="B6:R6"/>
    <mergeCell ref="B7:R7"/>
    <mergeCell ref="B9:R9"/>
    <mergeCell ref="B10:R10"/>
    <mergeCell ref="B11:R11"/>
    <mergeCell ref="B8:R8"/>
  </mergeCells>
  <hyperlinks>
    <hyperlink ref="J2" location="'Front Page'!A1" display="Return to Front Page" xr:uid="{00000000-0004-0000-0B00-000000000000}"/>
  </hyperlinks>
  <pageMargins left="0.23622047244094488" right="0.23622047244094488" top="0.23622047244094488" bottom="0.23622047244094488" header="0.31496062992125984" footer="0.31496062992125984"/>
  <pageSetup paperSize="9" scale="92"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E1E96-6E99-4D97-977E-CD68FC657D48}">
  <dimension ref="A1"/>
  <sheetViews>
    <sheetView workbookViewId="0"/>
  </sheetViews>
  <sheetFormatPr defaultRowHeight="14.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B1:E87"/>
  <sheetViews>
    <sheetView zoomScale="68" zoomScaleNormal="68" workbookViewId="0">
      <selection activeCell="Q106" sqref="Q106"/>
    </sheetView>
  </sheetViews>
  <sheetFormatPr defaultRowHeight="14.5"/>
  <cols>
    <col min="1" max="1" width="4.1796875" customWidth="1"/>
    <col min="2" max="2" width="17.453125" customWidth="1"/>
    <col min="3" max="3" width="12.1796875" customWidth="1"/>
    <col min="4" max="4" width="54.1796875" customWidth="1"/>
    <col min="5" max="5" width="82.1796875" customWidth="1"/>
  </cols>
  <sheetData>
    <row r="1" spans="2:5">
      <c r="B1" t="str">
        <f>'Front Page'!C1</f>
        <v>Printed on</v>
      </c>
      <c r="C1" s="448">
        <f ca="1">'Front Page'!E1</f>
        <v>44610.35418101852</v>
      </c>
    </row>
    <row r="2" spans="2:5" ht="31">
      <c r="B2" s="97" t="s">
        <v>662</v>
      </c>
      <c r="E2" s="157"/>
    </row>
    <row r="3" spans="2:5">
      <c r="B3" s="53" t="s">
        <v>654</v>
      </c>
      <c r="D3" s="470" t="s">
        <v>1001</v>
      </c>
    </row>
    <row r="4" spans="2:5" ht="15" thickBot="1"/>
    <row r="5" spans="2:5" ht="15" thickBot="1">
      <c r="B5" s="137" t="s">
        <v>668</v>
      </c>
      <c r="C5" s="138" t="s">
        <v>669</v>
      </c>
      <c r="D5" s="138" t="s">
        <v>670</v>
      </c>
      <c r="E5" s="138" t="s">
        <v>671</v>
      </c>
    </row>
    <row r="6" spans="2:5">
      <c r="B6" s="1309" t="s">
        <v>100</v>
      </c>
      <c r="C6" s="139" t="s">
        <v>110</v>
      </c>
      <c r="D6" s="1307" t="s">
        <v>673</v>
      </c>
      <c r="E6" s="1307" t="s">
        <v>818</v>
      </c>
    </row>
    <row r="7" spans="2:5" ht="33" customHeight="1" thickBot="1">
      <c r="B7" s="1310"/>
      <c r="C7" s="140" t="s">
        <v>817</v>
      </c>
      <c r="D7" s="1308"/>
      <c r="E7" s="1308"/>
    </row>
    <row r="8" spans="2:5" ht="50" customHeight="1" thickBot="1">
      <c r="B8" s="254" t="s">
        <v>972</v>
      </c>
      <c r="C8" s="140" t="s">
        <v>674</v>
      </c>
      <c r="D8" s="140" t="s">
        <v>819</v>
      </c>
      <c r="E8" s="140" t="s">
        <v>820</v>
      </c>
    </row>
    <row r="9" spans="2:5" ht="29">
      <c r="B9" s="1309" t="s">
        <v>11</v>
      </c>
      <c r="C9" s="1312"/>
      <c r="D9" s="1307" t="s">
        <v>973</v>
      </c>
      <c r="E9" s="492" t="s">
        <v>974</v>
      </c>
    </row>
    <row r="10" spans="2:5" ht="29">
      <c r="B10" s="1311"/>
      <c r="C10" s="1313"/>
      <c r="D10" s="1315"/>
      <c r="E10" s="492" t="s">
        <v>975</v>
      </c>
    </row>
    <row r="11" spans="2:5" ht="38.5" customHeight="1" thickBot="1">
      <c r="B11" s="1310"/>
      <c r="C11" s="1314"/>
      <c r="D11" s="1308"/>
      <c r="E11" s="493" t="s">
        <v>976</v>
      </c>
    </row>
    <row r="12" spans="2:5" ht="76.5" customHeight="1" thickBot="1">
      <c r="B12" s="254" t="s">
        <v>4</v>
      </c>
      <c r="C12" s="140" t="s">
        <v>977</v>
      </c>
      <c r="D12" s="140" t="s">
        <v>978</v>
      </c>
      <c r="E12" s="140" t="s">
        <v>979</v>
      </c>
    </row>
    <row r="13" spans="2:5" s="683" customFormat="1" ht="22.5" customHeight="1" thickBot="1">
      <c r="B13" s="684" t="s">
        <v>8</v>
      </c>
      <c r="C13" s="140" t="s">
        <v>110</v>
      </c>
      <c r="D13" s="140" t="s">
        <v>1530</v>
      </c>
      <c r="E13" s="140"/>
    </row>
    <row r="14" spans="2:5" s="687" customFormat="1" ht="51.5" customHeight="1" thickBot="1">
      <c r="B14" s="688" t="s">
        <v>1532</v>
      </c>
      <c r="C14" s="140"/>
      <c r="D14" s="140" t="s">
        <v>1533</v>
      </c>
      <c r="E14" s="140" t="s">
        <v>1534</v>
      </c>
    </row>
    <row r="15" spans="2:5" ht="29" customHeight="1" thickBot="1">
      <c r="B15" s="254" t="s">
        <v>649</v>
      </c>
      <c r="C15" s="140" t="s">
        <v>110</v>
      </c>
      <c r="D15" s="140" t="s">
        <v>821</v>
      </c>
      <c r="E15" s="140" t="s">
        <v>675</v>
      </c>
    </row>
    <row r="16" spans="2:5" ht="23.5" customHeight="1" thickBot="1">
      <c r="B16" s="254" t="s">
        <v>650</v>
      </c>
      <c r="C16" s="140" t="s">
        <v>110</v>
      </c>
      <c r="D16" s="140" t="s">
        <v>822</v>
      </c>
      <c r="E16" s="140" t="s">
        <v>675</v>
      </c>
    </row>
    <row r="17" spans="2:5" ht="72" customHeight="1" thickBot="1">
      <c r="B17" s="254" t="s">
        <v>823</v>
      </c>
      <c r="C17" s="140" t="s">
        <v>676</v>
      </c>
      <c r="D17" s="140" t="s">
        <v>1439</v>
      </c>
      <c r="E17" s="140" t="s">
        <v>824</v>
      </c>
    </row>
    <row r="18" spans="2:5" ht="35.5" customHeight="1" thickBot="1">
      <c r="B18" s="254" t="s">
        <v>537</v>
      </c>
      <c r="C18" s="140" t="s">
        <v>676</v>
      </c>
      <c r="D18" s="140" t="s">
        <v>677</v>
      </c>
      <c r="E18" s="140" t="s">
        <v>678</v>
      </c>
    </row>
    <row r="19" spans="2:5" ht="49.5" customHeight="1" thickBot="1">
      <c r="B19" s="254" t="s">
        <v>679</v>
      </c>
      <c r="C19" s="140"/>
      <c r="D19" s="140" t="s">
        <v>825</v>
      </c>
      <c r="E19" s="140" t="s">
        <v>826</v>
      </c>
    </row>
    <row r="20" spans="2:5" ht="40" customHeight="1" thickBot="1">
      <c r="B20" s="254" t="s">
        <v>535</v>
      </c>
      <c r="C20" s="140" t="s">
        <v>676</v>
      </c>
      <c r="D20" s="140" t="s">
        <v>827</v>
      </c>
      <c r="E20" s="140" t="s">
        <v>680</v>
      </c>
    </row>
    <row r="21" spans="2:5" ht="21" customHeight="1" thickBot="1">
      <c r="B21" s="254" t="s">
        <v>6</v>
      </c>
      <c r="C21" s="140" t="s">
        <v>67</v>
      </c>
      <c r="D21" s="140" t="s">
        <v>681</v>
      </c>
      <c r="E21" s="140" t="s">
        <v>682</v>
      </c>
    </row>
    <row r="22" spans="2:5" ht="39.5" customHeight="1" thickBot="1">
      <c r="B22" s="254" t="s">
        <v>980</v>
      </c>
      <c r="C22" s="140" t="s">
        <v>67</v>
      </c>
      <c r="D22" s="140" t="s">
        <v>981</v>
      </c>
      <c r="E22" s="140" t="s">
        <v>1535</v>
      </c>
    </row>
    <row r="23" spans="2:5" ht="23.5" customHeight="1" thickBot="1">
      <c r="B23" s="254" t="s">
        <v>549</v>
      </c>
      <c r="C23" s="140" t="s">
        <v>67</v>
      </c>
      <c r="D23" s="140" t="s">
        <v>683</v>
      </c>
      <c r="E23" s="140" t="s">
        <v>684</v>
      </c>
    </row>
    <row r="24" spans="2:5" ht="38" customHeight="1" thickBot="1">
      <c r="B24" s="254" t="s">
        <v>781</v>
      </c>
      <c r="C24" s="140" t="s">
        <v>67</v>
      </c>
      <c r="D24" s="140" t="s">
        <v>828</v>
      </c>
      <c r="E24" s="140" t="s">
        <v>684</v>
      </c>
    </row>
    <row r="25" spans="2:5" ht="35" customHeight="1" thickBot="1">
      <c r="B25" s="254" t="s">
        <v>470</v>
      </c>
      <c r="C25" s="140" t="s">
        <v>67</v>
      </c>
      <c r="D25" s="140" t="s">
        <v>829</v>
      </c>
      <c r="E25" s="140" t="s">
        <v>685</v>
      </c>
    </row>
    <row r="26" spans="2:5" ht="29">
      <c r="B26" s="1309" t="s">
        <v>830</v>
      </c>
      <c r="C26" s="1307" t="s">
        <v>67</v>
      </c>
      <c r="D26" s="139" t="s">
        <v>831</v>
      </c>
      <c r="E26" s="1307" t="s">
        <v>687</v>
      </c>
    </row>
    <row r="27" spans="2:5" ht="22.5" customHeight="1" thickBot="1">
      <c r="B27" s="1310"/>
      <c r="C27" s="1308"/>
      <c r="D27" s="140" t="s">
        <v>686</v>
      </c>
      <c r="E27" s="1308"/>
    </row>
    <row r="28" spans="2:5" ht="35" customHeight="1" thickBot="1">
      <c r="B28" s="254" t="s">
        <v>688</v>
      </c>
      <c r="C28" s="140" t="s">
        <v>67</v>
      </c>
      <c r="D28" s="140" t="s">
        <v>689</v>
      </c>
      <c r="E28" s="140" t="s">
        <v>690</v>
      </c>
    </row>
    <row r="29" spans="2:5" ht="63" customHeight="1" thickBot="1">
      <c r="B29" s="254" t="s">
        <v>691</v>
      </c>
      <c r="C29" s="140" t="s">
        <v>67</v>
      </c>
      <c r="D29" s="140" t="s">
        <v>692</v>
      </c>
      <c r="E29" s="140" t="s">
        <v>693</v>
      </c>
    </row>
    <row r="30" spans="2:5" ht="48.5" customHeight="1" thickBot="1">
      <c r="B30" s="254" t="s">
        <v>982</v>
      </c>
      <c r="C30" s="140" t="s">
        <v>67</v>
      </c>
      <c r="D30" s="140" t="s">
        <v>983</v>
      </c>
      <c r="E30" s="140" t="s">
        <v>984</v>
      </c>
    </row>
    <row r="31" spans="2:5" ht="63" customHeight="1" thickBot="1">
      <c r="B31" s="254" t="s">
        <v>985</v>
      </c>
      <c r="C31" s="140" t="s">
        <v>67</v>
      </c>
      <c r="D31" s="140" t="s">
        <v>986</v>
      </c>
      <c r="E31" s="140" t="s">
        <v>987</v>
      </c>
    </row>
    <row r="32" spans="2:5" ht="46.5" customHeight="1" thickBot="1">
      <c r="B32" s="254" t="s">
        <v>988</v>
      </c>
      <c r="C32" s="140" t="s">
        <v>67</v>
      </c>
      <c r="D32" s="140" t="s">
        <v>714</v>
      </c>
      <c r="E32" s="140" t="s">
        <v>715</v>
      </c>
    </row>
    <row r="33" spans="2:5" ht="70.5" customHeight="1" thickBot="1">
      <c r="B33" s="254" t="s">
        <v>1440</v>
      </c>
      <c r="C33" s="140" t="s">
        <v>67</v>
      </c>
      <c r="D33" s="140" t="s">
        <v>716</v>
      </c>
      <c r="E33" s="140" t="s">
        <v>717</v>
      </c>
    </row>
    <row r="34" spans="2:5" ht="63.5" customHeight="1" thickBot="1">
      <c r="B34" s="254" t="s">
        <v>694</v>
      </c>
      <c r="C34" s="140" t="s">
        <v>67</v>
      </c>
      <c r="D34" s="140" t="s">
        <v>695</v>
      </c>
      <c r="E34" s="140" t="s">
        <v>832</v>
      </c>
    </row>
    <row r="35" spans="2:5" ht="61" customHeight="1" thickBot="1">
      <c r="B35" s="254" t="s">
        <v>539</v>
      </c>
      <c r="C35" s="140" t="s">
        <v>67</v>
      </c>
      <c r="D35" s="140" t="s">
        <v>696</v>
      </c>
      <c r="E35" s="140" t="s">
        <v>833</v>
      </c>
    </row>
    <row r="36" spans="2:5" ht="41" customHeight="1" thickBot="1">
      <c r="B36" s="254" t="s">
        <v>10</v>
      </c>
      <c r="C36" s="140" t="s">
        <v>110</v>
      </c>
      <c r="D36" s="140" t="s">
        <v>834</v>
      </c>
      <c r="E36" s="140" t="s">
        <v>835</v>
      </c>
    </row>
    <row r="37" spans="2:5" ht="40" customHeight="1" thickBot="1">
      <c r="B37" s="254" t="s">
        <v>548</v>
      </c>
      <c r="C37" s="140" t="s">
        <v>110</v>
      </c>
      <c r="D37" s="140" t="s">
        <v>697</v>
      </c>
      <c r="E37" s="140" t="s">
        <v>698</v>
      </c>
    </row>
    <row r="38" spans="2:5" ht="64" customHeight="1" thickBot="1">
      <c r="B38" s="254" t="s">
        <v>699</v>
      </c>
      <c r="C38" s="140" t="s">
        <v>110</v>
      </c>
      <c r="D38" s="140" t="s">
        <v>836</v>
      </c>
      <c r="E38" s="140" t="s">
        <v>700</v>
      </c>
    </row>
    <row r="39" spans="2:5" ht="84.5" customHeight="1" thickBot="1">
      <c r="B39" s="772" t="s">
        <v>545</v>
      </c>
      <c r="C39" s="140" t="s">
        <v>110</v>
      </c>
      <c r="D39" s="140" t="s">
        <v>837</v>
      </c>
      <c r="E39" s="140" t="s">
        <v>1658</v>
      </c>
    </row>
    <row r="40" spans="2:5" ht="54" customHeight="1" thickBot="1">
      <c r="B40" s="254" t="s">
        <v>619</v>
      </c>
      <c r="C40" s="140" t="s">
        <v>110</v>
      </c>
      <c r="D40" s="140" t="s">
        <v>701</v>
      </c>
      <c r="E40" s="140" t="s">
        <v>702</v>
      </c>
    </row>
    <row r="41" spans="2:5" ht="83" customHeight="1" thickBot="1">
      <c r="B41" s="254" t="s">
        <v>620</v>
      </c>
      <c r="C41" s="140" t="s">
        <v>110</v>
      </c>
      <c r="D41" s="140" t="s">
        <v>838</v>
      </c>
      <c r="E41" s="140" t="s">
        <v>740</v>
      </c>
    </row>
    <row r="42" spans="2:5" ht="72" customHeight="1" thickBot="1">
      <c r="B42" s="254" t="s">
        <v>622</v>
      </c>
      <c r="C42" s="140" t="s">
        <v>839</v>
      </c>
      <c r="D42" s="140" t="s">
        <v>989</v>
      </c>
      <c r="E42" s="140" t="s">
        <v>703</v>
      </c>
    </row>
    <row r="43" spans="2:5" ht="74" customHeight="1" thickBot="1">
      <c r="B43" s="254" t="s">
        <v>624</v>
      </c>
      <c r="C43" s="140" t="s">
        <v>840</v>
      </c>
      <c r="D43" s="140" t="s">
        <v>841</v>
      </c>
      <c r="E43" s="140" t="s">
        <v>842</v>
      </c>
    </row>
    <row r="44" spans="2:5" ht="74.5" customHeight="1" thickBot="1">
      <c r="B44" s="254" t="s">
        <v>621</v>
      </c>
      <c r="C44" s="140" t="s">
        <v>840</v>
      </c>
      <c r="D44" s="140" t="s">
        <v>990</v>
      </c>
      <c r="E44" s="140" t="s">
        <v>704</v>
      </c>
    </row>
    <row r="45" spans="2:5" ht="74" customHeight="1" thickBot="1">
      <c r="B45" s="254" t="s">
        <v>623</v>
      </c>
      <c r="C45" s="140" t="s">
        <v>840</v>
      </c>
      <c r="D45" s="140" t="s">
        <v>991</v>
      </c>
      <c r="E45" s="140" t="s">
        <v>741</v>
      </c>
    </row>
    <row r="46" spans="2:5" ht="75.5" customHeight="1" thickBot="1">
      <c r="B46" s="254" t="s">
        <v>992</v>
      </c>
      <c r="C46" s="140" t="s">
        <v>993</v>
      </c>
      <c r="D46" s="140" t="s">
        <v>994</v>
      </c>
      <c r="E46" s="140" t="s">
        <v>995</v>
      </c>
    </row>
    <row r="47" spans="2:5" ht="89.5" customHeight="1" thickBot="1">
      <c r="B47" s="254" t="s">
        <v>996</v>
      </c>
      <c r="C47" s="140" t="s">
        <v>993</v>
      </c>
      <c r="D47" s="140" t="s">
        <v>997</v>
      </c>
      <c r="E47" s="140" t="s">
        <v>998</v>
      </c>
    </row>
    <row r="48" spans="2:5" ht="50" customHeight="1" thickBot="1">
      <c r="B48" s="254" t="s">
        <v>437</v>
      </c>
      <c r="C48" s="140"/>
      <c r="D48" s="140" t="s">
        <v>843</v>
      </c>
      <c r="E48" s="140" t="s">
        <v>844</v>
      </c>
    </row>
    <row r="49" spans="2:5" ht="22.5" customHeight="1" thickBot="1">
      <c r="B49" s="254" t="s">
        <v>536</v>
      </c>
      <c r="C49" s="140"/>
      <c r="D49" s="140" t="s">
        <v>705</v>
      </c>
      <c r="E49" s="140" t="s">
        <v>706</v>
      </c>
    </row>
    <row r="50" spans="2:5" ht="35.5" customHeight="1" thickBot="1">
      <c r="B50" s="254" t="s">
        <v>13</v>
      </c>
      <c r="C50" s="140"/>
      <c r="D50" s="140" t="s">
        <v>707</v>
      </c>
      <c r="E50" s="140" t="s">
        <v>708</v>
      </c>
    </row>
    <row r="51" spans="2:5">
      <c r="B51" s="1309" t="s">
        <v>628</v>
      </c>
      <c r="C51" s="139" t="s">
        <v>845</v>
      </c>
      <c r="D51" s="1307" t="s">
        <v>709</v>
      </c>
      <c r="E51" s="1307" t="s">
        <v>710</v>
      </c>
    </row>
    <row r="52" spans="2:5" ht="23.5" customHeight="1" thickBot="1">
      <c r="B52" s="1310"/>
      <c r="C52" s="140" t="s">
        <v>817</v>
      </c>
      <c r="D52" s="1308"/>
      <c r="E52" s="1308"/>
    </row>
    <row r="53" spans="2:5">
      <c r="B53" s="1309" t="s">
        <v>629</v>
      </c>
      <c r="C53" s="139" t="s">
        <v>845</v>
      </c>
      <c r="D53" s="1307" t="s">
        <v>711</v>
      </c>
      <c r="E53" s="1307" t="s">
        <v>712</v>
      </c>
    </row>
    <row r="54" spans="2:5" ht="22.5" customHeight="1" thickBot="1">
      <c r="B54" s="1310"/>
      <c r="C54" s="140" t="s">
        <v>817</v>
      </c>
      <c r="D54" s="1308"/>
      <c r="E54" s="1308"/>
    </row>
    <row r="55" spans="2:5" ht="61" customHeight="1" thickBot="1">
      <c r="B55" s="254" t="s">
        <v>547</v>
      </c>
      <c r="C55" s="140" t="s">
        <v>846</v>
      </c>
      <c r="D55" s="140" t="s">
        <v>847</v>
      </c>
      <c r="E55" s="140" t="s">
        <v>713</v>
      </c>
    </row>
    <row r="56" spans="2:5" ht="86.5" customHeight="1" thickBot="1">
      <c r="B56" s="254" t="s">
        <v>848</v>
      </c>
      <c r="C56" s="140" t="s">
        <v>849</v>
      </c>
      <c r="D56" s="140" t="s">
        <v>850</v>
      </c>
      <c r="E56" s="140" t="s">
        <v>851</v>
      </c>
    </row>
    <row r="57" spans="2:5" ht="43.5" customHeight="1" thickBot="1">
      <c r="B57" s="254" t="s">
        <v>60</v>
      </c>
      <c r="C57" s="140" t="s">
        <v>999</v>
      </c>
      <c r="D57" s="140" t="s">
        <v>1525</v>
      </c>
      <c r="E57" s="140" t="s">
        <v>852</v>
      </c>
    </row>
    <row r="58" spans="2:5" ht="56" customHeight="1" thickBot="1">
      <c r="B58" s="254" t="s">
        <v>59</v>
      </c>
      <c r="C58" s="140"/>
      <c r="D58" s="140" t="s">
        <v>718</v>
      </c>
      <c r="E58" s="140" t="s">
        <v>719</v>
      </c>
    </row>
    <row r="59" spans="2:5" ht="106.5" customHeight="1" thickBot="1">
      <c r="B59" s="254" t="s">
        <v>720</v>
      </c>
      <c r="C59" s="140"/>
      <c r="D59" s="140" t="s">
        <v>742</v>
      </c>
      <c r="E59" s="140" t="s">
        <v>853</v>
      </c>
    </row>
    <row r="60" spans="2:5" ht="63" customHeight="1" thickBot="1">
      <c r="B60" s="254" t="s">
        <v>721</v>
      </c>
      <c r="C60" s="140"/>
      <c r="D60" s="140" t="s">
        <v>722</v>
      </c>
      <c r="E60" s="140" t="s">
        <v>723</v>
      </c>
    </row>
    <row r="61" spans="2:5" ht="45.5" customHeight="1" thickBot="1">
      <c r="B61" s="254" t="s">
        <v>724</v>
      </c>
      <c r="C61" s="140"/>
      <c r="D61" s="140" t="s">
        <v>725</v>
      </c>
      <c r="E61" s="140" t="s">
        <v>726</v>
      </c>
    </row>
    <row r="62" spans="2:5" ht="47.5" customHeight="1" thickBot="1">
      <c r="B62" s="254" t="s">
        <v>727</v>
      </c>
      <c r="C62" s="140"/>
      <c r="D62" s="140" t="s">
        <v>728</v>
      </c>
      <c r="E62" s="140" t="s">
        <v>1657</v>
      </c>
    </row>
    <row r="63" spans="2:5" ht="41.5" customHeight="1" thickBot="1">
      <c r="B63" s="254" t="s">
        <v>854</v>
      </c>
      <c r="C63" s="140"/>
      <c r="D63" s="140" t="s">
        <v>1660</v>
      </c>
      <c r="E63" s="140" t="s">
        <v>855</v>
      </c>
    </row>
    <row r="64" spans="2:5" ht="68.5" customHeight="1" thickBot="1">
      <c r="B64" s="772" t="s">
        <v>856</v>
      </c>
      <c r="C64" s="140"/>
      <c r="D64" s="140" t="s">
        <v>1659</v>
      </c>
      <c r="E64" s="140" t="s">
        <v>857</v>
      </c>
    </row>
    <row r="65" spans="2:5" s="683" customFormat="1" ht="25.5" customHeight="1" thickBot="1">
      <c r="B65" s="685" t="s">
        <v>1529</v>
      </c>
      <c r="C65" s="692" t="s">
        <v>110</v>
      </c>
      <c r="D65" s="139" t="s">
        <v>1531</v>
      </c>
      <c r="E65" s="139"/>
    </row>
    <row r="66" spans="2:5" ht="37" customHeight="1">
      <c r="B66" s="1309" t="s">
        <v>729</v>
      </c>
      <c r="C66" s="139" t="s">
        <v>845</v>
      </c>
      <c r="D66" s="1307" t="s">
        <v>730</v>
      </c>
      <c r="E66" s="1307" t="s">
        <v>858</v>
      </c>
    </row>
    <row r="67" spans="2:5" ht="37" customHeight="1" thickBot="1">
      <c r="B67" s="1310"/>
      <c r="C67" s="140" t="s">
        <v>817</v>
      </c>
      <c r="D67" s="1308"/>
      <c r="E67" s="1308"/>
    </row>
    <row r="68" spans="2:5" ht="72" customHeight="1" thickBot="1">
      <c r="B68" s="254" t="s">
        <v>1730</v>
      </c>
      <c r="C68" s="140" t="s">
        <v>731</v>
      </c>
      <c r="D68" s="140" t="s">
        <v>1731</v>
      </c>
      <c r="E68" s="140" t="s">
        <v>732</v>
      </c>
    </row>
    <row r="69" spans="2:5">
      <c r="B69" s="1309" t="s">
        <v>629</v>
      </c>
      <c r="C69" s="139" t="s">
        <v>845</v>
      </c>
      <c r="D69" s="1307" t="s">
        <v>859</v>
      </c>
      <c r="E69" s="1307" t="s">
        <v>860</v>
      </c>
    </row>
    <row r="70" spans="2:5" ht="28" customHeight="1" thickBot="1">
      <c r="B70" s="1310"/>
      <c r="C70" s="140" t="s">
        <v>817</v>
      </c>
      <c r="D70" s="1308"/>
      <c r="E70" s="1308"/>
    </row>
    <row r="71" spans="2:5" ht="74.5" customHeight="1" thickBot="1">
      <c r="B71" s="254" t="s">
        <v>103</v>
      </c>
      <c r="C71" s="140" t="s">
        <v>672</v>
      </c>
      <c r="D71" s="140" t="s">
        <v>733</v>
      </c>
      <c r="E71" s="140" t="s">
        <v>734</v>
      </c>
    </row>
    <row r="72" spans="2:5" ht="92.5" customHeight="1" thickBot="1">
      <c r="B72" s="254" t="s">
        <v>546</v>
      </c>
      <c r="C72" s="140" t="s">
        <v>672</v>
      </c>
      <c r="D72" s="140" t="s">
        <v>735</v>
      </c>
      <c r="E72" s="140" t="s">
        <v>736</v>
      </c>
    </row>
    <row r="73" spans="2:5" ht="72" customHeight="1" thickBot="1">
      <c r="B73" s="254" t="s">
        <v>1000</v>
      </c>
      <c r="C73" s="140" t="s">
        <v>737</v>
      </c>
      <c r="D73" s="140" t="s">
        <v>738</v>
      </c>
      <c r="E73" s="140" t="s">
        <v>739</v>
      </c>
    </row>
    <row r="74" spans="2:5">
      <c r="B74" s="428"/>
    </row>
    <row r="75" spans="2:5" ht="16.5">
      <c r="B75" s="981" t="s">
        <v>1536</v>
      </c>
      <c r="C75" s="981"/>
      <c r="D75" s="981"/>
      <c r="E75" s="981"/>
    </row>
    <row r="76" spans="2:5">
      <c r="C76" s="693"/>
      <c r="D76" s="693"/>
      <c r="E76" s="693"/>
    </row>
    <row r="77" spans="2:5" ht="36.5" customHeight="1">
      <c r="B77" s="1331" t="s">
        <v>1740</v>
      </c>
      <c r="C77" s="1331"/>
      <c r="D77" s="1331"/>
      <c r="E77" s="1331"/>
    </row>
    <row r="78" spans="2:5" s="878" customFormat="1">
      <c r="B78" s="879"/>
      <c r="C78" s="879"/>
      <c r="D78" s="879"/>
      <c r="E78" s="879"/>
    </row>
    <row r="79" spans="2:5">
      <c r="C79" s="693"/>
      <c r="D79" s="693"/>
      <c r="E79" s="693"/>
    </row>
    <row r="80" spans="2:5">
      <c r="C80" s="693"/>
      <c r="D80" s="693"/>
      <c r="E80" s="693" t="s">
        <v>1</v>
      </c>
    </row>
    <row r="81" spans="3:5">
      <c r="C81" s="693"/>
      <c r="D81" s="693"/>
      <c r="E81" s="693"/>
    </row>
    <row r="82" spans="3:5">
      <c r="C82" s="693"/>
      <c r="D82" s="693"/>
      <c r="E82" s="693"/>
    </row>
    <row r="83" spans="3:5">
      <c r="C83" s="693"/>
      <c r="D83" s="693"/>
      <c r="E83" s="693"/>
    </row>
    <row r="84" spans="3:5">
      <c r="C84" s="693"/>
      <c r="D84" s="693"/>
      <c r="E84" s="693"/>
    </row>
    <row r="85" spans="3:5">
      <c r="C85" s="693"/>
      <c r="D85" s="693"/>
      <c r="E85" s="693"/>
    </row>
    <row r="86" spans="3:5">
      <c r="C86" s="693"/>
      <c r="D86" s="693"/>
      <c r="E86" s="693"/>
    </row>
    <row r="87" spans="3:5">
      <c r="C87" s="693"/>
      <c r="D87" s="693"/>
      <c r="E87" s="693"/>
    </row>
  </sheetData>
  <sheetProtection algorithmName="SHA-512" hashValue="PoPlqD2ZDEZa2M/qaOekRwEgWTWZSsYiDWUhXYlUCHXCvqhPHdXVNsu9x3CUAS7T6sqN6ZQxHW9ziCUtGWtqbQ==" saltValue="09hR6KjLmWnB2DNtttfK+g==" spinCount="100000" sheet="1" objects="1" scenarios="1"/>
  <mergeCells count="23">
    <mergeCell ref="B75:E75"/>
    <mergeCell ref="B77:E77"/>
    <mergeCell ref="E6:E7"/>
    <mergeCell ref="B9:B11"/>
    <mergeCell ref="C9:C11"/>
    <mergeCell ref="D9:D11"/>
    <mergeCell ref="B6:B7"/>
    <mergeCell ref="D6:D7"/>
    <mergeCell ref="B26:B27"/>
    <mergeCell ref="C26:C27"/>
    <mergeCell ref="E26:E27"/>
    <mergeCell ref="B51:B52"/>
    <mergeCell ref="D51:D52"/>
    <mergeCell ref="E51:E52"/>
    <mergeCell ref="B69:B70"/>
    <mergeCell ref="D69:D70"/>
    <mergeCell ref="E69:E70"/>
    <mergeCell ref="B53:B54"/>
    <mergeCell ref="D53:D54"/>
    <mergeCell ref="E53:E54"/>
    <mergeCell ref="B66:B67"/>
    <mergeCell ref="D66:D67"/>
    <mergeCell ref="E66:E67"/>
  </mergeCells>
  <hyperlinks>
    <hyperlink ref="B3" location="'Front Page'!A1" display="Return to Front Page" xr:uid="{00000000-0004-0000-0C00-000000000000}"/>
    <hyperlink ref="D3" location="'Background &amp; Theory'!A1" display="References referred to are given in BACKGROUND AND THEORY." xr:uid="{00000000-0004-0000-0C00-000001000000}"/>
  </hyperlinks>
  <pageMargins left="0.23622047244094488" right="0.23622047244094488" top="0.23622047244094488" bottom="0.23622047244094488" header="0.31496062992125984" footer="0.31496062992125984"/>
  <pageSetup paperSize="9" scale="84" fitToHeight="0" orientation="landscape" r:id="rId1"/>
  <rowBreaks count="1" manualBreakCount="1">
    <brk id="6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2:G308"/>
  <sheetViews>
    <sheetView workbookViewId="0"/>
  </sheetViews>
  <sheetFormatPr defaultRowHeight="14.5"/>
  <cols>
    <col min="1" max="1" width="3.54296875" style="635" customWidth="1"/>
    <col min="2" max="2" width="18.1796875" style="587" customWidth="1"/>
    <col min="3" max="3" width="9.1796875" style="635"/>
    <col min="4" max="4" width="83.453125" style="635" customWidth="1"/>
    <col min="5" max="5" width="19" style="635" customWidth="1"/>
    <col min="6" max="6" width="18.1796875" style="635" customWidth="1"/>
    <col min="7" max="7" width="12" style="587" customWidth="1"/>
  </cols>
  <sheetData>
    <row r="2" spans="2:7" ht="31">
      <c r="B2" s="97" t="s">
        <v>1153</v>
      </c>
      <c r="E2" s="601" t="s">
        <v>1407</v>
      </c>
    </row>
    <row r="4" spans="2:7" ht="17" thickBot="1">
      <c r="B4" s="588" t="s">
        <v>1548</v>
      </c>
    </row>
    <row r="5" spans="2:7" ht="28.5" thickBot="1">
      <c r="B5" s="572" t="s">
        <v>0</v>
      </c>
      <c r="C5" s="573" t="s">
        <v>1154</v>
      </c>
      <c r="D5" s="573" t="s">
        <v>1155</v>
      </c>
      <c r="E5" s="573" t="s">
        <v>1156</v>
      </c>
      <c r="F5" s="573" t="s">
        <v>1157</v>
      </c>
      <c r="G5" s="573" t="s">
        <v>1158</v>
      </c>
    </row>
    <row r="6" spans="2:7" ht="19" customHeight="1">
      <c r="B6" s="1316" t="s">
        <v>1159</v>
      </c>
      <c r="C6" s="1318"/>
      <c r="D6" s="1316"/>
      <c r="E6" s="1316" t="s">
        <v>1695</v>
      </c>
      <c r="F6" s="576" t="s">
        <v>1160</v>
      </c>
      <c r="G6" s="1316" t="s">
        <v>1163</v>
      </c>
    </row>
    <row r="7" spans="2:7" ht="16">
      <c r="B7" s="1322"/>
      <c r="C7" s="1323"/>
      <c r="D7" s="1322"/>
      <c r="E7" s="1322"/>
      <c r="F7" s="576" t="s">
        <v>1161</v>
      </c>
      <c r="G7" s="1322"/>
    </row>
    <row r="8" spans="2:7" ht="100" customHeight="1" thickBot="1">
      <c r="B8" s="1317"/>
      <c r="C8" s="1319"/>
      <c r="D8" s="1317"/>
      <c r="E8" s="1317"/>
      <c r="F8" s="642" t="s">
        <v>1162</v>
      </c>
      <c r="G8" s="1317"/>
    </row>
    <row r="9" spans="2:7" ht="15" customHeight="1">
      <c r="B9" s="1316" t="s">
        <v>60</v>
      </c>
      <c r="C9" s="1318"/>
      <c r="D9" s="1318" t="s">
        <v>1164</v>
      </c>
      <c r="E9" s="1318"/>
      <c r="F9" s="1318"/>
      <c r="G9" s="1316" t="s">
        <v>1165</v>
      </c>
    </row>
    <row r="10" spans="2:7" ht="15" thickBot="1">
      <c r="B10" s="1317"/>
      <c r="C10" s="1319"/>
      <c r="D10" s="1319"/>
      <c r="E10" s="1319"/>
      <c r="F10" s="1319"/>
      <c r="G10" s="1317"/>
    </row>
    <row r="11" spans="2:7" ht="16">
      <c r="B11" s="636" t="s">
        <v>59</v>
      </c>
      <c r="C11" s="638"/>
      <c r="D11" s="591" t="s">
        <v>1167</v>
      </c>
      <c r="E11" s="638" t="s">
        <v>1170</v>
      </c>
      <c r="F11" s="638"/>
      <c r="G11" s="636" t="s">
        <v>1172</v>
      </c>
    </row>
    <row r="12" spans="2:7" ht="28">
      <c r="B12" s="640"/>
      <c r="C12" s="641"/>
      <c r="E12" s="641" t="s">
        <v>1694</v>
      </c>
      <c r="F12" s="641"/>
      <c r="G12" s="640"/>
    </row>
    <row r="13" spans="2:7">
      <c r="B13" s="640"/>
      <c r="C13" s="641"/>
      <c r="E13" s="574"/>
      <c r="F13" s="641"/>
      <c r="G13" s="640"/>
    </row>
    <row r="14" spans="2:7">
      <c r="B14" s="640"/>
      <c r="C14" s="641"/>
      <c r="E14" s="641" t="s">
        <v>1171</v>
      </c>
      <c r="F14" s="641"/>
      <c r="G14" s="640"/>
    </row>
    <row r="15" spans="2:7">
      <c r="B15" s="640"/>
      <c r="C15" s="641"/>
      <c r="D15" s="591"/>
      <c r="E15" s="641"/>
      <c r="F15" s="641"/>
      <c r="G15" s="640"/>
    </row>
    <row r="16" spans="2:7" ht="28">
      <c r="B16" s="640" t="s">
        <v>1166</v>
      </c>
      <c r="C16" s="641"/>
      <c r="D16" s="591" t="s">
        <v>1168</v>
      </c>
      <c r="E16" s="859" t="s">
        <v>1656</v>
      </c>
      <c r="F16" s="641"/>
      <c r="G16" s="640"/>
    </row>
    <row r="17" spans="2:7" ht="15" thickBot="1">
      <c r="B17" s="640"/>
      <c r="C17" s="641"/>
      <c r="D17" s="594"/>
      <c r="E17" s="859" t="s">
        <v>1688</v>
      </c>
      <c r="F17" s="641"/>
      <c r="G17" s="640"/>
    </row>
    <row r="18" spans="2:7" ht="16">
      <c r="B18" s="640"/>
      <c r="C18" s="641"/>
      <c r="D18" s="594"/>
      <c r="E18" s="860" t="s">
        <v>1711</v>
      </c>
      <c r="F18" s="641"/>
      <c r="G18" s="640"/>
    </row>
    <row r="19" spans="2:7" ht="15" thickBot="1">
      <c r="B19" s="593"/>
      <c r="C19" s="639"/>
      <c r="D19" s="591" t="s">
        <v>1169</v>
      </c>
      <c r="E19" s="639"/>
      <c r="F19" s="641"/>
      <c r="G19" s="640"/>
    </row>
    <row r="20" spans="2:7" ht="24" customHeight="1">
      <c r="B20" s="636" t="s">
        <v>1173</v>
      </c>
      <c r="C20" s="576"/>
      <c r="D20" s="638" t="s">
        <v>1175</v>
      </c>
      <c r="E20" s="1320" t="s">
        <v>1176</v>
      </c>
      <c r="F20" s="638" t="s">
        <v>1177</v>
      </c>
      <c r="G20" s="636" t="s">
        <v>1174</v>
      </c>
    </row>
    <row r="21" spans="2:7">
      <c r="B21" s="640"/>
      <c r="C21" s="576"/>
      <c r="D21" s="641"/>
      <c r="E21" s="1321"/>
      <c r="F21" s="641"/>
      <c r="G21" s="640"/>
    </row>
    <row r="22" spans="2:7">
      <c r="B22" s="640"/>
      <c r="C22" s="576"/>
      <c r="D22" s="641"/>
      <c r="E22" s="641"/>
      <c r="F22" s="641"/>
      <c r="G22" s="640"/>
    </row>
    <row r="23" spans="2:7">
      <c r="B23" s="640"/>
      <c r="C23" s="576"/>
      <c r="D23" s="641"/>
      <c r="E23" s="641"/>
      <c r="F23" s="641"/>
      <c r="G23" s="640"/>
    </row>
    <row r="24" spans="2:7">
      <c r="B24" s="640"/>
      <c r="C24" s="576"/>
      <c r="D24" s="641"/>
      <c r="E24" s="641"/>
      <c r="F24" s="641"/>
      <c r="G24" s="640"/>
    </row>
    <row r="25" spans="2:7">
      <c r="B25" s="640"/>
      <c r="C25" s="576"/>
      <c r="D25" s="641"/>
      <c r="E25" s="641"/>
      <c r="F25" s="641"/>
      <c r="G25" s="640"/>
    </row>
    <row r="26" spans="2:7">
      <c r="B26" s="640"/>
      <c r="C26" s="576"/>
      <c r="D26" s="641"/>
      <c r="E26" s="641"/>
      <c r="F26" s="641"/>
      <c r="G26" s="640"/>
    </row>
    <row r="27" spans="2:7">
      <c r="B27" s="640"/>
      <c r="C27" s="576"/>
      <c r="D27" s="641"/>
      <c r="E27" s="641"/>
      <c r="F27" s="641"/>
      <c r="G27" s="640"/>
    </row>
    <row r="28" spans="2:7">
      <c r="B28" s="640"/>
      <c r="C28" s="576"/>
      <c r="D28" s="641"/>
      <c r="E28" s="641"/>
      <c r="F28" s="641"/>
      <c r="G28" s="640"/>
    </row>
    <row r="29" spans="2:7">
      <c r="B29" s="640"/>
      <c r="C29" s="576"/>
      <c r="D29" s="641"/>
      <c r="E29" s="641"/>
      <c r="F29" s="641"/>
      <c r="G29" s="640"/>
    </row>
    <row r="30" spans="2:7">
      <c r="B30" s="640"/>
      <c r="C30" s="576"/>
      <c r="D30" s="641"/>
      <c r="E30" s="641"/>
      <c r="F30" s="641"/>
      <c r="G30" s="640"/>
    </row>
    <row r="31" spans="2:7">
      <c r="B31" s="640"/>
      <c r="C31" s="576"/>
      <c r="D31" s="641"/>
      <c r="E31" s="641"/>
      <c r="F31" s="641"/>
      <c r="G31" s="640"/>
    </row>
    <row r="32" spans="2:7">
      <c r="B32" s="640"/>
      <c r="C32" s="576"/>
      <c r="D32" s="641"/>
      <c r="E32" s="641"/>
      <c r="F32" s="641"/>
      <c r="G32" s="640"/>
    </row>
    <row r="33" spans="2:7">
      <c r="B33" s="640"/>
      <c r="C33" s="576"/>
      <c r="D33" s="641"/>
      <c r="E33" s="641"/>
      <c r="F33" s="641"/>
      <c r="G33" s="640"/>
    </row>
    <row r="34" spans="2:7">
      <c r="B34" s="640"/>
      <c r="C34" s="576"/>
      <c r="D34" s="641"/>
      <c r="E34" s="641"/>
      <c r="F34" s="641"/>
      <c r="G34" s="640"/>
    </row>
    <row r="35" spans="2:7">
      <c r="B35" s="640"/>
      <c r="C35" s="576"/>
      <c r="D35" s="641"/>
      <c r="E35" s="641"/>
      <c r="F35" s="641"/>
      <c r="G35" s="640"/>
    </row>
    <row r="36" spans="2:7">
      <c r="B36" s="640"/>
      <c r="C36" s="576"/>
      <c r="D36" s="641"/>
      <c r="E36" s="641"/>
      <c r="F36" s="641"/>
      <c r="G36" s="640"/>
    </row>
    <row r="37" spans="2:7">
      <c r="B37" s="640"/>
      <c r="C37" s="576"/>
      <c r="D37" s="641"/>
      <c r="E37" s="641"/>
      <c r="F37" s="641"/>
      <c r="G37" s="640"/>
    </row>
    <row r="38" spans="2:7">
      <c r="B38" s="640"/>
      <c r="C38" s="576"/>
      <c r="D38" s="641"/>
      <c r="E38" s="641"/>
      <c r="F38" s="641"/>
      <c r="G38" s="640"/>
    </row>
    <row r="39" spans="2:7">
      <c r="B39" s="640"/>
      <c r="C39" s="576"/>
      <c r="D39" s="641"/>
      <c r="E39" s="641"/>
      <c r="F39" s="641"/>
      <c r="G39" s="640"/>
    </row>
    <row r="40" spans="2:7">
      <c r="B40" s="640"/>
      <c r="C40" s="576"/>
      <c r="D40" s="641"/>
      <c r="E40" s="641"/>
      <c r="F40" s="641"/>
      <c r="G40" s="640"/>
    </row>
    <row r="41" spans="2:7">
      <c r="B41" s="640"/>
      <c r="D41" s="641"/>
      <c r="E41" s="641"/>
      <c r="F41" s="641"/>
      <c r="G41" s="640"/>
    </row>
    <row r="42" spans="2:7">
      <c r="B42" s="640"/>
      <c r="C42" s="576"/>
      <c r="D42" s="641"/>
      <c r="E42" s="641"/>
      <c r="F42" s="641"/>
      <c r="G42" s="640"/>
    </row>
    <row r="43" spans="2:7">
      <c r="B43" s="640"/>
      <c r="C43" s="576"/>
      <c r="D43" s="641"/>
      <c r="E43" s="641"/>
      <c r="F43" s="641"/>
      <c r="G43" s="640"/>
    </row>
    <row r="44" spans="2:7">
      <c r="B44" s="640"/>
      <c r="C44" s="576"/>
      <c r="D44" s="641"/>
      <c r="E44" s="641"/>
      <c r="F44" s="641"/>
      <c r="G44" s="640"/>
    </row>
    <row r="45" spans="2:7">
      <c r="B45" s="640"/>
      <c r="C45" s="576"/>
      <c r="D45" s="641"/>
      <c r="E45" s="641"/>
      <c r="F45" s="641"/>
      <c r="G45" s="640"/>
    </row>
    <row r="46" spans="2:7">
      <c r="B46" s="640"/>
      <c r="C46" s="576"/>
      <c r="D46" s="641"/>
      <c r="E46" s="641"/>
      <c r="F46" s="641"/>
      <c r="G46" s="640"/>
    </row>
    <row r="47" spans="2:7" ht="16.5" customHeight="1" thickBot="1">
      <c r="B47" s="640"/>
      <c r="C47" s="576"/>
      <c r="D47" s="641"/>
      <c r="E47" s="641"/>
      <c r="F47" s="641"/>
      <c r="G47" s="640"/>
    </row>
    <row r="48" spans="2:7" ht="55" customHeight="1">
      <c r="B48" s="636" t="s">
        <v>1178</v>
      </c>
      <c r="C48" s="638"/>
      <c r="D48" s="592"/>
      <c r="E48" s="636" t="s">
        <v>1693</v>
      </c>
      <c r="F48" s="636" t="s">
        <v>1181</v>
      </c>
      <c r="G48" s="636" t="s">
        <v>1182</v>
      </c>
    </row>
    <row r="49" spans="2:7" ht="68.25" customHeight="1" thickBot="1">
      <c r="B49" s="640"/>
      <c r="C49" s="641"/>
      <c r="D49" s="639" t="s">
        <v>1179</v>
      </c>
      <c r="E49" s="639" t="s">
        <v>1171</v>
      </c>
      <c r="F49" s="641"/>
      <c r="G49" s="640"/>
    </row>
    <row r="50" spans="2:7" ht="15" customHeight="1">
      <c r="B50" s="1316" t="s">
        <v>1183</v>
      </c>
      <c r="C50" s="1318"/>
      <c r="D50" s="1318" t="s">
        <v>1184</v>
      </c>
      <c r="E50" s="1318"/>
      <c r="F50" s="1316" t="s">
        <v>1177</v>
      </c>
      <c r="G50" s="1316" t="s">
        <v>1185</v>
      </c>
    </row>
    <row r="51" spans="2:7" ht="15" thickBot="1">
      <c r="B51" s="1317"/>
      <c r="C51" s="1319"/>
      <c r="D51" s="1319"/>
      <c r="E51" s="1319"/>
      <c r="F51" s="1317"/>
      <c r="G51" s="1317"/>
    </row>
    <row r="52" spans="2:7" ht="15" customHeight="1">
      <c r="B52" s="1316" t="s">
        <v>1549</v>
      </c>
      <c r="C52" s="1318"/>
      <c r="D52" s="1318" t="s">
        <v>1186</v>
      </c>
      <c r="E52" s="576" t="s">
        <v>1187</v>
      </c>
      <c r="F52" s="1316" t="s">
        <v>1177</v>
      </c>
      <c r="G52" s="1316" t="s">
        <v>1189</v>
      </c>
    </row>
    <row r="53" spans="2:7" ht="15" thickBot="1">
      <c r="B53" s="1317"/>
      <c r="C53" s="1319"/>
      <c r="D53" s="1319"/>
      <c r="E53" s="577" t="s">
        <v>1188</v>
      </c>
      <c r="F53" s="1317"/>
      <c r="G53" s="1317"/>
    </row>
    <row r="54" spans="2:7" ht="15" customHeight="1">
      <c r="B54" s="1316" t="s">
        <v>1190</v>
      </c>
      <c r="C54" s="1318"/>
      <c r="D54" s="595"/>
      <c r="E54" s="638" t="s">
        <v>1191</v>
      </c>
      <c r="F54" s="1316" t="s">
        <v>1181</v>
      </c>
      <c r="G54" s="1316" t="s">
        <v>1193</v>
      </c>
    </row>
    <row r="55" spans="2:7" ht="51" customHeight="1">
      <c r="B55" s="1322"/>
      <c r="C55" s="1323"/>
      <c r="E55" s="641" t="s">
        <v>1192</v>
      </c>
      <c r="F55" s="1322"/>
      <c r="G55" s="1322"/>
    </row>
    <row r="56" spans="2:7" ht="65.25" customHeight="1" thickBot="1">
      <c r="B56" s="1317"/>
      <c r="C56" s="1319"/>
      <c r="D56" s="591" t="s">
        <v>1689</v>
      </c>
      <c r="E56" s="639" t="s">
        <v>1690</v>
      </c>
      <c r="F56" s="1317"/>
      <c r="G56" s="1317"/>
    </row>
    <row r="57" spans="2:7" ht="15" customHeight="1">
      <c r="B57" s="1316" t="s">
        <v>1194</v>
      </c>
      <c r="C57" s="1318"/>
      <c r="D57" s="1318" t="s">
        <v>1195</v>
      </c>
      <c r="E57" s="1318"/>
      <c r="F57" s="1318" t="s">
        <v>1181</v>
      </c>
      <c r="G57" s="1316" t="s">
        <v>1196</v>
      </c>
    </row>
    <row r="58" spans="2:7" ht="15" thickBot="1">
      <c r="B58" s="1317"/>
      <c r="C58" s="1319"/>
      <c r="D58" s="1319"/>
      <c r="E58" s="1319"/>
      <c r="F58" s="1319"/>
      <c r="G58" s="1317"/>
    </row>
    <row r="59" spans="2:7" ht="46">
      <c r="B59" s="636" t="s">
        <v>1405</v>
      </c>
      <c r="C59" s="638"/>
      <c r="D59" s="576" t="s">
        <v>1541</v>
      </c>
      <c r="E59" s="576" t="s">
        <v>1197</v>
      </c>
      <c r="F59" s="576" t="s">
        <v>1198</v>
      </c>
      <c r="G59" s="636" t="s">
        <v>1201</v>
      </c>
    </row>
    <row r="60" spans="2:7" ht="42">
      <c r="B60" s="640"/>
      <c r="C60" s="641"/>
      <c r="D60" s="579"/>
      <c r="E60" s="576" t="s">
        <v>1696</v>
      </c>
      <c r="F60" s="576" t="s">
        <v>1199</v>
      </c>
      <c r="G60" s="640"/>
    </row>
    <row r="61" spans="2:7" ht="32">
      <c r="B61" s="640"/>
      <c r="C61" s="641"/>
      <c r="E61" s="580"/>
      <c r="F61" s="576" t="s">
        <v>1200</v>
      </c>
      <c r="G61" s="640"/>
    </row>
    <row r="62" spans="2:7">
      <c r="B62" s="640"/>
      <c r="C62" s="641"/>
      <c r="D62" s="580"/>
      <c r="E62" s="580"/>
      <c r="F62" s="576"/>
      <c r="G62" s="640"/>
    </row>
    <row r="63" spans="2:7">
      <c r="B63" s="640"/>
      <c r="C63" s="641"/>
      <c r="D63" s="576"/>
      <c r="E63" s="580"/>
      <c r="F63" s="580"/>
      <c r="G63" s="640"/>
    </row>
    <row r="64" spans="2:7">
      <c r="B64" s="640"/>
      <c r="C64" s="641"/>
      <c r="D64" s="580"/>
      <c r="E64" s="580"/>
      <c r="F64" s="580"/>
      <c r="G64" s="640"/>
    </row>
    <row r="65" spans="2:7">
      <c r="B65" s="640"/>
      <c r="C65" s="641"/>
      <c r="D65" s="580"/>
      <c r="E65" s="580"/>
      <c r="F65" s="580"/>
      <c r="G65" s="640"/>
    </row>
    <row r="66" spans="2:7">
      <c r="B66" s="640"/>
      <c r="C66" s="641"/>
      <c r="D66" s="580"/>
      <c r="E66" s="580"/>
      <c r="F66" s="580"/>
      <c r="G66" s="640"/>
    </row>
    <row r="67" spans="2:7">
      <c r="B67" s="640"/>
      <c r="C67" s="641"/>
      <c r="D67" s="580"/>
      <c r="E67" s="580"/>
      <c r="F67" s="580"/>
      <c r="G67" s="640"/>
    </row>
    <row r="68" spans="2:7">
      <c r="B68" s="640"/>
      <c r="C68" s="641"/>
      <c r="D68" s="580"/>
      <c r="E68" s="580"/>
      <c r="F68" s="580"/>
      <c r="G68" s="640"/>
    </row>
    <row r="69" spans="2:7">
      <c r="B69" s="640"/>
      <c r="C69" s="641"/>
      <c r="D69" s="580"/>
      <c r="E69" s="580"/>
      <c r="F69" s="580"/>
      <c r="G69" s="640"/>
    </row>
    <row r="70" spans="2:7">
      <c r="B70" s="640"/>
      <c r="C70" s="641"/>
      <c r="D70" s="580"/>
      <c r="E70" s="580"/>
      <c r="F70" s="580"/>
      <c r="G70" s="640"/>
    </row>
    <row r="71" spans="2:7">
      <c r="B71" s="640"/>
      <c r="C71" s="641"/>
      <c r="D71" s="576" t="s">
        <v>1702</v>
      </c>
      <c r="E71" s="580"/>
      <c r="F71" s="580"/>
      <c r="G71" s="640"/>
    </row>
    <row r="72" spans="2:7">
      <c r="B72" s="640"/>
      <c r="C72" s="641"/>
      <c r="D72" s="580"/>
      <c r="E72" s="580"/>
      <c r="F72" s="580"/>
      <c r="G72" s="640"/>
    </row>
    <row r="73" spans="2:7">
      <c r="B73" s="640"/>
      <c r="C73" s="641"/>
      <c r="D73" s="580"/>
      <c r="E73" s="580"/>
      <c r="F73" s="580"/>
      <c r="G73" s="640"/>
    </row>
    <row r="74" spans="2:7">
      <c r="B74" s="640"/>
      <c r="C74" s="641"/>
      <c r="D74" s="580"/>
      <c r="E74" s="580"/>
      <c r="F74" s="580"/>
      <c r="G74" s="640"/>
    </row>
    <row r="75" spans="2:7" ht="15" thickBot="1">
      <c r="B75" s="640"/>
      <c r="C75" s="641"/>
      <c r="D75" s="580"/>
      <c r="E75" s="580"/>
      <c r="F75" s="580"/>
      <c r="G75" s="640"/>
    </row>
    <row r="76" spans="2:7" ht="15" customHeight="1">
      <c r="B76" s="1316" t="s">
        <v>1202</v>
      </c>
      <c r="C76" s="1318"/>
      <c r="D76" s="1318" t="s">
        <v>1203</v>
      </c>
      <c r="E76" s="1318"/>
      <c r="F76" s="1318"/>
      <c r="G76" s="1316" t="s">
        <v>1204</v>
      </c>
    </row>
    <row r="77" spans="2:7" ht="15" thickBot="1">
      <c r="B77" s="1317"/>
      <c r="C77" s="1319"/>
      <c r="D77" s="1319"/>
      <c r="E77" s="1319"/>
      <c r="F77" s="1319"/>
      <c r="G77" s="1317"/>
    </row>
    <row r="78" spans="2:7" ht="15" customHeight="1">
      <c r="B78" s="1316" t="s">
        <v>1205</v>
      </c>
      <c r="C78" s="1318"/>
      <c r="D78" s="1318" t="s">
        <v>1206</v>
      </c>
      <c r="E78" s="1318"/>
      <c r="F78" s="1318"/>
      <c r="G78" s="1316" t="s">
        <v>1207</v>
      </c>
    </row>
    <row r="79" spans="2:7" ht="15" thickBot="1">
      <c r="B79" s="1317"/>
      <c r="C79" s="1319"/>
      <c r="D79" s="1319"/>
      <c r="E79" s="1319"/>
      <c r="F79" s="1319"/>
      <c r="G79" s="1317"/>
    </row>
    <row r="80" spans="2:7" ht="15" customHeight="1">
      <c r="B80" s="1316" t="s">
        <v>1550</v>
      </c>
      <c r="C80" s="1318"/>
      <c r="D80" s="1318" t="s">
        <v>1208</v>
      </c>
      <c r="E80" s="576" t="s">
        <v>1209</v>
      </c>
      <c r="F80" s="1318"/>
      <c r="G80" s="1316" t="s">
        <v>1210</v>
      </c>
    </row>
    <row r="81" spans="2:7" ht="28.5" thickBot="1">
      <c r="B81" s="1317"/>
      <c r="C81" s="1319"/>
      <c r="D81" s="1319"/>
      <c r="E81" s="577" t="s">
        <v>1692</v>
      </c>
      <c r="F81" s="1319"/>
      <c r="G81" s="1317"/>
    </row>
    <row r="82" spans="2:7" ht="15" customHeight="1">
      <c r="B82" s="1316" t="s">
        <v>1553</v>
      </c>
      <c r="C82" s="1318"/>
      <c r="D82" s="1318" t="s">
        <v>1211</v>
      </c>
      <c r="E82" s="576" t="s">
        <v>1212</v>
      </c>
      <c r="F82" s="1318"/>
      <c r="G82" s="1316" t="s">
        <v>1213</v>
      </c>
    </row>
    <row r="83" spans="2:7" ht="28.5" thickBot="1">
      <c r="B83" s="1317"/>
      <c r="C83" s="1319"/>
      <c r="D83" s="1319"/>
      <c r="E83" s="577" t="s">
        <v>1692</v>
      </c>
      <c r="F83" s="1319"/>
      <c r="G83" s="1317"/>
    </row>
    <row r="84" spans="2:7" ht="15" customHeight="1">
      <c r="B84" s="1316" t="s">
        <v>1552</v>
      </c>
      <c r="C84" s="1318"/>
      <c r="D84" s="1318" t="s">
        <v>1214</v>
      </c>
      <c r="E84" s="576" t="s">
        <v>1209</v>
      </c>
      <c r="F84" s="1318"/>
      <c r="G84" s="1316" t="s">
        <v>1215</v>
      </c>
    </row>
    <row r="85" spans="2:7" ht="28.5" thickBot="1">
      <c r="B85" s="1317"/>
      <c r="C85" s="1319"/>
      <c r="D85" s="1319"/>
      <c r="E85" s="577" t="s">
        <v>1692</v>
      </c>
      <c r="F85" s="1319"/>
      <c r="G85" s="1317"/>
    </row>
    <row r="86" spans="2:7" ht="15" customHeight="1">
      <c r="B86" s="1316" t="s">
        <v>1551</v>
      </c>
      <c r="C86" s="1318"/>
      <c r="D86" s="1318" t="s">
        <v>1543</v>
      </c>
      <c r="E86" s="576" t="s">
        <v>1212</v>
      </c>
      <c r="F86" s="1318"/>
      <c r="G86" s="1316" t="s">
        <v>1216</v>
      </c>
    </row>
    <row r="87" spans="2:7" ht="28.5" thickBot="1">
      <c r="B87" s="1317"/>
      <c r="C87" s="1319"/>
      <c r="D87" s="1319"/>
      <c r="E87" s="576" t="s">
        <v>1692</v>
      </c>
      <c r="F87" s="1319"/>
      <c r="G87" s="1317"/>
    </row>
    <row r="88" spans="2:7" ht="32">
      <c r="B88" s="636" t="s">
        <v>751</v>
      </c>
      <c r="C88" s="638"/>
      <c r="D88" s="638" t="s">
        <v>1217</v>
      </c>
      <c r="E88" s="638" t="s">
        <v>1218</v>
      </c>
      <c r="F88" s="638" t="s">
        <v>1219</v>
      </c>
      <c r="G88" s="636" t="s">
        <v>1221</v>
      </c>
    </row>
    <row r="89" spans="2:7" ht="28">
      <c r="B89" s="640"/>
      <c r="C89" s="641"/>
      <c r="D89" s="641"/>
      <c r="E89" s="641" t="s">
        <v>1692</v>
      </c>
      <c r="F89" s="641" t="s">
        <v>1220</v>
      </c>
      <c r="G89" s="640"/>
    </row>
    <row r="90" spans="2:7">
      <c r="B90" s="640"/>
      <c r="C90" s="641"/>
      <c r="D90" s="596"/>
      <c r="E90" s="641"/>
      <c r="F90" s="578"/>
      <c r="G90" s="640"/>
    </row>
    <row r="91" spans="2:7">
      <c r="B91" s="640"/>
      <c r="C91" s="641"/>
      <c r="D91" s="574"/>
      <c r="E91" s="641"/>
      <c r="F91" s="578"/>
      <c r="G91" s="640"/>
    </row>
    <row r="92" spans="2:7">
      <c r="B92" s="640"/>
      <c r="C92" s="641"/>
      <c r="D92" s="641"/>
      <c r="E92" s="641"/>
      <c r="F92" s="578"/>
      <c r="G92" s="640"/>
    </row>
    <row r="93" spans="2:7">
      <c r="B93" s="640"/>
      <c r="C93" s="641"/>
      <c r="D93" s="578"/>
      <c r="E93" s="641"/>
      <c r="F93" s="578"/>
      <c r="G93" s="640"/>
    </row>
    <row r="94" spans="2:7">
      <c r="B94" s="640"/>
      <c r="C94" s="641"/>
      <c r="D94" s="578"/>
      <c r="E94" s="641"/>
      <c r="F94" s="578"/>
      <c r="G94" s="640"/>
    </row>
    <row r="95" spans="2:7">
      <c r="B95" s="640"/>
      <c r="C95" s="641"/>
      <c r="D95" s="578"/>
      <c r="E95" s="641" t="s">
        <v>1180</v>
      </c>
      <c r="F95" s="578"/>
      <c r="G95" s="640"/>
    </row>
    <row r="96" spans="2:7" ht="28">
      <c r="B96" s="640"/>
      <c r="C96" s="641"/>
      <c r="D96" s="578"/>
      <c r="E96" s="641" t="s">
        <v>1692</v>
      </c>
      <c r="F96" s="578"/>
      <c r="G96" s="640"/>
    </row>
    <row r="97" spans="2:7">
      <c r="B97" s="640"/>
      <c r="C97" s="641"/>
      <c r="D97" s="574"/>
      <c r="E97" s="641"/>
      <c r="F97" s="578"/>
      <c r="G97" s="640"/>
    </row>
    <row r="98" spans="2:7">
      <c r="B98" s="640"/>
      <c r="C98" s="641"/>
      <c r="D98" s="578"/>
      <c r="E98" s="641"/>
      <c r="F98" s="578"/>
      <c r="G98" s="640"/>
    </row>
    <row r="99" spans="2:7" s="665" customFormat="1" ht="30.5">
      <c r="B99" s="669"/>
      <c r="C99" s="670"/>
      <c r="D99" s="714" t="s">
        <v>1514</v>
      </c>
      <c r="E99" s="670"/>
      <c r="F99" s="670"/>
      <c r="G99" s="669"/>
    </row>
    <row r="100" spans="2:7" ht="15" thickBot="1">
      <c r="B100" s="640"/>
      <c r="C100" s="641"/>
      <c r="D100" s="639" t="s">
        <v>1706</v>
      </c>
      <c r="E100" s="639"/>
      <c r="F100" s="578"/>
      <c r="G100" s="640"/>
    </row>
    <row r="101" spans="2:7" ht="46">
      <c r="B101" s="1316" t="s">
        <v>917</v>
      </c>
      <c r="C101" s="1318"/>
      <c r="D101" s="638" t="s">
        <v>1222</v>
      </c>
      <c r="E101" s="1316" t="s">
        <v>1224</v>
      </c>
      <c r="F101" s="638" t="s">
        <v>1225</v>
      </c>
      <c r="G101" s="1324" t="s">
        <v>1229</v>
      </c>
    </row>
    <row r="102" spans="2:7" ht="54" customHeight="1">
      <c r="B102" s="1322"/>
      <c r="C102" s="1323"/>
      <c r="D102" s="596"/>
      <c r="E102" s="1322"/>
      <c r="F102" s="641" t="s">
        <v>1226</v>
      </c>
      <c r="G102" s="1325"/>
    </row>
    <row r="103" spans="2:7" ht="30">
      <c r="B103" s="1322"/>
      <c r="C103" s="1323"/>
      <c r="D103" s="574"/>
      <c r="E103" s="1322"/>
      <c r="F103" s="641" t="s">
        <v>1227</v>
      </c>
      <c r="G103" s="1325"/>
    </row>
    <row r="104" spans="2:7">
      <c r="B104" s="1322"/>
      <c r="C104" s="1323"/>
      <c r="D104" s="574"/>
      <c r="E104" s="1322"/>
      <c r="F104" s="641" t="s">
        <v>1228</v>
      </c>
      <c r="G104" s="1325"/>
    </row>
    <row r="105" spans="2:7">
      <c r="B105" s="1322"/>
      <c r="C105" s="1323"/>
      <c r="D105" s="641" t="s">
        <v>1223</v>
      </c>
      <c r="E105" s="1322"/>
      <c r="F105" s="641"/>
      <c r="G105" s="1325"/>
    </row>
    <row r="106" spans="2:7" s="665" customFormat="1" ht="44.5">
      <c r="B106" s="1322"/>
      <c r="C106" s="1323"/>
      <c r="D106" s="714" t="s">
        <v>1567</v>
      </c>
      <c r="E106" s="1322"/>
      <c r="F106" s="670"/>
      <c r="G106" s="1325"/>
    </row>
    <row r="107" spans="2:7" ht="15" thickBot="1">
      <c r="B107" s="1317"/>
      <c r="C107" s="1319"/>
      <c r="D107" s="639" t="s">
        <v>1706</v>
      </c>
      <c r="E107" s="1317"/>
      <c r="F107" s="575"/>
      <c r="G107" s="1326"/>
    </row>
    <row r="108" spans="2:7" ht="28">
      <c r="B108" s="636" t="s">
        <v>1554</v>
      </c>
      <c r="C108" s="638"/>
      <c r="D108" s="597"/>
      <c r="E108" s="638" t="s">
        <v>1231</v>
      </c>
      <c r="F108" s="576" t="s">
        <v>1233</v>
      </c>
      <c r="G108" s="636" t="s">
        <v>1237</v>
      </c>
    </row>
    <row r="109" spans="2:7" ht="28">
      <c r="B109" s="640"/>
      <c r="C109" s="641"/>
      <c r="D109" s="641" t="s">
        <v>1230</v>
      </c>
      <c r="E109" s="641" t="s">
        <v>1692</v>
      </c>
      <c r="F109" s="576" t="s">
        <v>1234</v>
      </c>
      <c r="G109" s="640"/>
    </row>
    <row r="110" spans="2:7" ht="32">
      <c r="B110" s="640"/>
      <c r="C110" s="641"/>
      <c r="D110" s="640"/>
      <c r="E110" s="641" t="s">
        <v>1232</v>
      </c>
      <c r="F110" s="576" t="s">
        <v>1235</v>
      </c>
      <c r="G110" s="640"/>
    </row>
    <row r="111" spans="2:7" ht="30.5" thickBot="1">
      <c r="B111" s="640"/>
      <c r="C111" s="641"/>
      <c r="D111" s="637"/>
      <c r="E111" s="639" t="s">
        <v>1692</v>
      </c>
      <c r="F111" s="576" t="s">
        <v>1236</v>
      </c>
      <c r="G111" s="640"/>
    </row>
    <row r="112" spans="2:7" ht="19" customHeight="1">
      <c r="B112" s="636" t="s">
        <v>1555</v>
      </c>
      <c r="C112" s="638"/>
      <c r="D112" s="576" t="s">
        <v>1238</v>
      </c>
      <c r="E112" s="576" t="s">
        <v>1240</v>
      </c>
      <c r="F112" s="1320" t="s">
        <v>1236</v>
      </c>
      <c r="G112" s="636" t="s">
        <v>1242</v>
      </c>
    </row>
    <row r="113" spans="2:7" ht="16">
      <c r="B113" s="640"/>
      <c r="C113" s="641"/>
      <c r="D113" s="582"/>
      <c r="E113" s="576" t="s">
        <v>1241</v>
      </c>
      <c r="F113" s="1321"/>
      <c r="G113" s="640"/>
    </row>
    <row r="114" spans="2:7" ht="16.5" thickBot="1">
      <c r="B114" s="640"/>
      <c r="C114" s="641"/>
      <c r="D114" s="576" t="s">
        <v>1239</v>
      </c>
      <c r="E114" s="580"/>
      <c r="F114" s="641"/>
      <c r="G114" s="640"/>
    </row>
    <row r="115" spans="2:7">
      <c r="B115" s="1316"/>
      <c r="C115" s="1318"/>
      <c r="D115" s="1318" t="s">
        <v>1243</v>
      </c>
      <c r="E115" s="1318"/>
      <c r="F115" s="1318"/>
      <c r="G115" s="1316" t="s">
        <v>1244</v>
      </c>
    </row>
    <row r="116" spans="2:7" ht="15" thickBot="1">
      <c r="B116" s="1317"/>
      <c r="C116" s="1319"/>
      <c r="D116" s="1319"/>
      <c r="E116" s="1319"/>
      <c r="F116" s="1319"/>
      <c r="G116" s="1317"/>
    </row>
    <row r="117" spans="2:7" ht="15" customHeight="1">
      <c r="B117" s="1316" t="s">
        <v>1000</v>
      </c>
      <c r="C117" s="1318"/>
      <c r="D117" s="597"/>
      <c r="E117" s="576" t="s">
        <v>1246</v>
      </c>
      <c r="F117" s="1316" t="s">
        <v>1248</v>
      </c>
      <c r="G117" s="1316" t="s">
        <v>1249</v>
      </c>
    </row>
    <row r="118" spans="2:7" ht="28">
      <c r="B118" s="1322"/>
      <c r="C118" s="1323"/>
      <c r="D118" s="574"/>
      <c r="E118" s="576" t="s">
        <v>1692</v>
      </c>
      <c r="F118" s="1322"/>
      <c r="G118" s="1322"/>
    </row>
    <row r="119" spans="2:7" ht="201.75" customHeight="1" thickBot="1">
      <c r="B119" s="1317"/>
      <c r="C119" s="1319"/>
      <c r="D119" s="598" t="s">
        <v>1245</v>
      </c>
      <c r="E119" s="642" t="s">
        <v>1247</v>
      </c>
      <c r="F119" s="1317"/>
      <c r="G119" s="1317"/>
    </row>
    <row r="120" spans="2:7" ht="28">
      <c r="B120" s="1316" t="s">
        <v>1545</v>
      </c>
      <c r="C120" s="1318"/>
      <c r="D120" s="638" t="s">
        <v>1250</v>
      </c>
      <c r="E120" s="1316" t="s">
        <v>1697</v>
      </c>
      <c r="F120" s="1316" t="s">
        <v>1252</v>
      </c>
      <c r="G120" s="1316" t="s">
        <v>1253</v>
      </c>
    </row>
    <row r="121" spans="2:7">
      <c r="B121" s="1322"/>
      <c r="C121" s="1323"/>
      <c r="D121" s="596"/>
      <c r="E121" s="1322"/>
      <c r="F121" s="1322"/>
      <c r="G121" s="1322"/>
    </row>
    <row r="122" spans="2:7">
      <c r="B122" s="1322"/>
      <c r="C122" s="1323"/>
      <c r="D122" s="574"/>
      <c r="E122" s="1322"/>
      <c r="F122" s="1322"/>
      <c r="G122" s="1322"/>
    </row>
    <row r="123" spans="2:7">
      <c r="B123" s="1322"/>
      <c r="C123" s="1323"/>
      <c r="D123" s="578"/>
      <c r="E123" s="1322"/>
      <c r="F123" s="1322"/>
      <c r="G123" s="1322"/>
    </row>
    <row r="124" spans="2:7">
      <c r="B124" s="1322"/>
      <c r="C124" s="1323"/>
      <c r="D124" s="578"/>
      <c r="E124" s="1322"/>
      <c r="F124" s="1322"/>
      <c r="G124" s="1322"/>
    </row>
    <row r="125" spans="2:7">
      <c r="B125" s="1322"/>
      <c r="C125" s="1323"/>
      <c r="D125" s="578"/>
      <c r="E125" s="1322"/>
      <c r="F125" s="1322"/>
      <c r="G125" s="1322"/>
    </row>
    <row r="126" spans="2:7">
      <c r="B126" s="1322"/>
      <c r="C126" s="1323"/>
      <c r="D126" s="578"/>
      <c r="E126" s="1322"/>
      <c r="F126" s="1322"/>
      <c r="G126" s="1322"/>
    </row>
    <row r="127" spans="2:7">
      <c r="B127" s="1322"/>
      <c r="C127" s="1323"/>
      <c r="D127" s="578"/>
      <c r="E127" s="1322"/>
      <c r="F127" s="1322"/>
      <c r="G127" s="1322"/>
    </row>
    <row r="128" spans="2:7">
      <c r="B128" s="1322"/>
      <c r="C128" s="1323"/>
      <c r="D128" s="578"/>
      <c r="E128" s="1322"/>
      <c r="F128" s="1322"/>
      <c r="G128" s="1322"/>
    </row>
    <row r="129" spans="2:7" ht="15" thickBot="1">
      <c r="B129" s="1317"/>
      <c r="C129" s="1319"/>
      <c r="D129" s="639" t="s">
        <v>1251</v>
      </c>
      <c r="E129" s="1317"/>
      <c r="F129" s="1317"/>
      <c r="G129" s="1317"/>
    </row>
    <row r="130" spans="2:7" ht="30">
      <c r="B130" s="1316" t="s">
        <v>1544</v>
      </c>
      <c r="C130" s="1316" t="s">
        <v>1254</v>
      </c>
      <c r="D130" s="576" t="s">
        <v>1255</v>
      </c>
      <c r="E130" s="1318"/>
      <c r="F130" s="1318"/>
      <c r="G130" s="1316" t="s">
        <v>1254</v>
      </c>
    </row>
    <row r="131" spans="2:7" ht="15" thickBot="1">
      <c r="B131" s="1317"/>
      <c r="C131" s="1317"/>
      <c r="D131" s="577" t="s">
        <v>1251</v>
      </c>
      <c r="E131" s="1319"/>
      <c r="F131" s="1319"/>
      <c r="G131" s="1317"/>
    </row>
    <row r="132" spans="2:7">
      <c r="B132" s="1316"/>
      <c r="C132" s="1318"/>
      <c r="D132" s="1318" t="s">
        <v>1243</v>
      </c>
      <c r="E132" s="1318"/>
      <c r="F132" s="1318"/>
      <c r="G132" s="1316" t="s">
        <v>1256</v>
      </c>
    </row>
    <row r="133" spans="2:7" ht="15" thickBot="1">
      <c r="B133" s="1317"/>
      <c r="C133" s="1319"/>
      <c r="D133" s="1319"/>
      <c r="E133" s="1319"/>
      <c r="F133" s="1319"/>
      <c r="G133" s="1317"/>
    </row>
    <row r="134" spans="2:7">
      <c r="B134" s="1316"/>
      <c r="C134" s="1318"/>
      <c r="D134" s="1318" t="s">
        <v>1243</v>
      </c>
      <c r="E134" s="1318"/>
      <c r="F134" s="1318"/>
      <c r="G134" s="1316" t="s">
        <v>1257</v>
      </c>
    </row>
    <row r="135" spans="2:7" ht="15" thickBot="1">
      <c r="B135" s="1317"/>
      <c r="C135" s="1319"/>
      <c r="D135" s="1319"/>
      <c r="E135" s="1319"/>
      <c r="F135" s="1319"/>
      <c r="G135" s="1317"/>
    </row>
    <row r="136" spans="2:7">
      <c r="B136" s="1316" t="s">
        <v>621</v>
      </c>
      <c r="C136" s="1318"/>
      <c r="D136" s="576" t="s">
        <v>1258</v>
      </c>
      <c r="E136" s="1316" t="s">
        <v>1264</v>
      </c>
      <c r="F136" s="1316" t="s">
        <v>1177</v>
      </c>
      <c r="G136" s="1316" t="s">
        <v>1265</v>
      </c>
    </row>
    <row r="137" spans="2:7">
      <c r="B137" s="1322"/>
      <c r="C137" s="1323"/>
      <c r="D137" s="576" t="s">
        <v>1259</v>
      </c>
      <c r="E137" s="1322"/>
      <c r="F137" s="1322"/>
      <c r="G137" s="1322"/>
    </row>
    <row r="138" spans="2:7" ht="66" customHeight="1">
      <c r="B138" s="1322"/>
      <c r="C138" s="1323"/>
      <c r="D138" s="579"/>
      <c r="E138" s="1322"/>
      <c r="F138" s="1322"/>
      <c r="G138" s="1322"/>
    </row>
    <row r="139" spans="2:7">
      <c r="B139" s="1322"/>
      <c r="C139" s="1323"/>
      <c r="D139" s="576" t="s">
        <v>1496</v>
      </c>
      <c r="E139" s="1322"/>
      <c r="F139" s="1322"/>
      <c r="G139" s="1322"/>
    </row>
    <row r="140" spans="2:7">
      <c r="B140" s="1322"/>
      <c r="C140" s="1323"/>
      <c r="D140" s="576" t="s">
        <v>1260</v>
      </c>
      <c r="E140" s="1322"/>
      <c r="F140" s="1322"/>
      <c r="G140" s="1322"/>
    </row>
    <row r="141" spans="2:7" ht="16">
      <c r="B141" s="1322"/>
      <c r="C141" s="1323"/>
      <c r="D141" s="576" t="s">
        <v>1261</v>
      </c>
      <c r="E141" s="1322"/>
      <c r="F141" s="1322"/>
      <c r="G141" s="1322"/>
    </row>
    <row r="142" spans="2:7">
      <c r="B142" s="1322"/>
      <c r="C142" s="1323"/>
      <c r="D142" s="576" t="s">
        <v>1262</v>
      </c>
      <c r="E142" s="1322"/>
      <c r="F142" s="1322"/>
      <c r="G142" s="1322"/>
    </row>
    <row r="143" spans="2:7">
      <c r="B143" s="1322"/>
      <c r="C143" s="1323"/>
      <c r="D143" s="576" t="s">
        <v>1263</v>
      </c>
      <c r="E143" s="1322"/>
      <c r="F143" s="1322"/>
      <c r="G143" s="1322"/>
    </row>
    <row r="144" spans="2:7" ht="15" thickBot="1">
      <c r="B144" s="1317"/>
      <c r="C144" s="1319"/>
      <c r="D144" s="577" t="s">
        <v>1497</v>
      </c>
      <c r="E144" s="1317"/>
      <c r="F144" s="1317"/>
      <c r="G144" s="1317"/>
    </row>
    <row r="145" spans="2:7" ht="15" customHeight="1">
      <c r="B145" s="1316" t="s">
        <v>1266</v>
      </c>
      <c r="C145" s="1318"/>
      <c r="D145" s="576" t="s">
        <v>1258</v>
      </c>
      <c r="E145" s="1316" t="s">
        <v>1268</v>
      </c>
      <c r="F145" s="1316" t="s">
        <v>1177</v>
      </c>
      <c r="G145" s="1316" t="s">
        <v>1269</v>
      </c>
    </row>
    <row r="146" spans="2:7" ht="16">
      <c r="B146" s="1322"/>
      <c r="C146" s="1323"/>
      <c r="D146" s="576" t="s">
        <v>1267</v>
      </c>
      <c r="E146" s="1322"/>
      <c r="F146" s="1322"/>
      <c r="G146" s="1322"/>
    </row>
    <row r="147" spans="2:7">
      <c r="B147" s="1322"/>
      <c r="C147" s="1323"/>
      <c r="D147" s="576"/>
      <c r="E147" s="1322"/>
      <c r="F147" s="1322"/>
      <c r="G147" s="1322"/>
    </row>
    <row r="148" spans="2:7">
      <c r="B148" s="1322"/>
      <c r="C148" s="1323"/>
      <c r="D148" s="576" t="s">
        <v>1498</v>
      </c>
      <c r="E148" s="1322"/>
      <c r="F148" s="1322"/>
      <c r="G148" s="1322"/>
    </row>
    <row r="149" spans="2:7">
      <c r="B149" s="1322"/>
      <c r="C149" s="1323"/>
      <c r="D149" s="576" t="s">
        <v>1260</v>
      </c>
      <c r="E149" s="1322"/>
      <c r="F149" s="1322"/>
      <c r="G149" s="1322"/>
    </row>
    <row r="150" spans="2:7" ht="16">
      <c r="B150" s="1322"/>
      <c r="C150" s="1323"/>
      <c r="D150" s="576" t="s">
        <v>1261</v>
      </c>
      <c r="E150" s="1322"/>
      <c r="F150" s="1322"/>
      <c r="G150" s="1322"/>
    </row>
    <row r="151" spans="2:7">
      <c r="B151" s="1322"/>
      <c r="C151" s="1323"/>
      <c r="D151" s="576" t="s">
        <v>1262</v>
      </c>
      <c r="E151" s="1322"/>
      <c r="F151" s="1322"/>
      <c r="G151" s="1322"/>
    </row>
    <row r="152" spans="2:7">
      <c r="B152" s="1322"/>
      <c r="C152" s="1323"/>
      <c r="D152" s="576" t="s">
        <v>1263</v>
      </c>
      <c r="E152" s="1322"/>
      <c r="F152" s="1322"/>
      <c r="G152" s="1322"/>
    </row>
    <row r="153" spans="2:7" ht="15" thickBot="1">
      <c r="B153" s="1317"/>
      <c r="C153" s="1319"/>
      <c r="D153" s="577" t="s">
        <v>1497</v>
      </c>
      <c r="E153" s="1317"/>
      <c r="F153" s="1317"/>
      <c r="G153" s="1317"/>
    </row>
    <row r="154" spans="2:7">
      <c r="B154" s="1316" t="s">
        <v>622</v>
      </c>
      <c r="C154" s="1318"/>
      <c r="D154" s="576" t="s">
        <v>1270</v>
      </c>
      <c r="E154" s="1316" t="s">
        <v>1282</v>
      </c>
      <c r="F154" s="1316" t="s">
        <v>1177</v>
      </c>
      <c r="G154" s="1316" t="s">
        <v>1283</v>
      </c>
    </row>
    <row r="155" spans="2:7">
      <c r="B155" s="1322"/>
      <c r="C155" s="1323"/>
      <c r="D155" s="576" t="s">
        <v>1271</v>
      </c>
      <c r="E155" s="1322"/>
      <c r="F155" s="1322"/>
      <c r="G155" s="1322"/>
    </row>
    <row r="156" spans="2:7">
      <c r="B156" s="1322"/>
      <c r="C156" s="1323"/>
      <c r="D156" s="576"/>
      <c r="E156" s="1322"/>
      <c r="F156" s="1322"/>
      <c r="G156" s="1322"/>
    </row>
    <row r="157" spans="2:7" ht="16">
      <c r="B157" s="1322"/>
      <c r="C157" s="1323"/>
      <c r="D157" s="576" t="s">
        <v>1272</v>
      </c>
      <c r="E157" s="1322"/>
      <c r="F157" s="1322"/>
      <c r="G157" s="1322"/>
    </row>
    <row r="158" spans="2:7">
      <c r="B158" s="1322"/>
      <c r="C158" s="1323"/>
      <c r="D158" s="576" t="s">
        <v>1273</v>
      </c>
      <c r="E158" s="1322"/>
      <c r="F158" s="1322"/>
      <c r="G158" s="1322"/>
    </row>
    <row r="159" spans="2:7">
      <c r="B159" s="1322"/>
      <c r="C159" s="1323"/>
      <c r="D159" s="576" t="s">
        <v>1274</v>
      </c>
      <c r="E159" s="1322"/>
      <c r="F159" s="1322"/>
      <c r="G159" s="1322"/>
    </row>
    <row r="160" spans="2:7" ht="16.5">
      <c r="B160" s="1322"/>
      <c r="C160" s="1323"/>
      <c r="D160" s="576" t="s">
        <v>1275</v>
      </c>
      <c r="E160" s="1322"/>
      <c r="F160" s="1322"/>
      <c r="G160" s="1322"/>
    </row>
    <row r="161" spans="2:7" ht="16">
      <c r="B161" s="1322"/>
      <c r="C161" s="1323"/>
      <c r="D161" s="576" t="s">
        <v>1276</v>
      </c>
      <c r="E161" s="1322"/>
      <c r="F161" s="1322"/>
      <c r="G161" s="1322"/>
    </row>
    <row r="162" spans="2:7" ht="30">
      <c r="B162" s="1322"/>
      <c r="C162" s="1323"/>
      <c r="D162" s="576" t="s">
        <v>1277</v>
      </c>
      <c r="E162" s="1322"/>
      <c r="F162" s="1322"/>
      <c r="G162" s="1322"/>
    </row>
    <row r="163" spans="2:7">
      <c r="B163" s="1322"/>
      <c r="C163" s="1323"/>
      <c r="D163" s="576"/>
      <c r="E163" s="1322"/>
      <c r="F163" s="1322"/>
      <c r="G163" s="1322"/>
    </row>
    <row r="164" spans="2:7">
      <c r="B164" s="1322"/>
      <c r="C164" s="1323"/>
      <c r="D164" s="576" t="s">
        <v>1278</v>
      </c>
      <c r="E164" s="1322"/>
      <c r="F164" s="1322"/>
      <c r="G164" s="1322"/>
    </row>
    <row r="165" spans="2:7" ht="16">
      <c r="B165" s="1322"/>
      <c r="C165" s="1323"/>
      <c r="D165" s="576" t="s">
        <v>1279</v>
      </c>
      <c r="E165" s="1322"/>
      <c r="F165" s="1322"/>
      <c r="G165" s="1322"/>
    </row>
    <row r="166" spans="2:7">
      <c r="B166" s="1322"/>
      <c r="C166" s="1323"/>
      <c r="D166" s="576"/>
      <c r="E166" s="1322"/>
      <c r="F166" s="1322"/>
      <c r="G166" s="1322"/>
    </row>
    <row r="167" spans="2:7">
      <c r="B167" s="1322"/>
      <c r="C167" s="1323"/>
      <c r="D167" s="576" t="s">
        <v>1280</v>
      </c>
      <c r="E167" s="1322"/>
      <c r="F167" s="1322"/>
      <c r="G167" s="1322"/>
    </row>
    <row r="168" spans="2:7" ht="17" thickBot="1">
      <c r="B168" s="1317"/>
      <c r="C168" s="1319"/>
      <c r="D168" s="577" t="s">
        <v>1281</v>
      </c>
      <c r="E168" s="1317"/>
      <c r="F168" s="1317"/>
      <c r="G168" s="1317"/>
    </row>
    <row r="169" spans="2:7" ht="33" customHeight="1">
      <c r="B169" s="1316" t="s">
        <v>1284</v>
      </c>
      <c r="C169" s="1318"/>
      <c r="D169" s="576" t="s">
        <v>1285</v>
      </c>
      <c r="E169" s="1318"/>
      <c r="F169" s="1316" t="s">
        <v>1177</v>
      </c>
      <c r="G169" s="1316" t="s">
        <v>1286</v>
      </c>
    </row>
    <row r="170" spans="2:7">
      <c r="B170" s="1322"/>
      <c r="C170" s="1323"/>
      <c r="D170" s="576"/>
      <c r="E170" s="1323"/>
      <c r="F170" s="1322"/>
      <c r="G170" s="1322"/>
    </row>
    <row r="171" spans="2:7" ht="16">
      <c r="B171" s="1322"/>
      <c r="C171" s="1323"/>
      <c r="D171" s="576" t="s">
        <v>1272</v>
      </c>
      <c r="E171" s="1323"/>
      <c r="F171" s="1322"/>
      <c r="G171" s="1322"/>
    </row>
    <row r="172" spans="2:7">
      <c r="B172" s="1322"/>
      <c r="C172" s="1323"/>
      <c r="D172" s="576" t="s">
        <v>1273</v>
      </c>
      <c r="E172" s="1323"/>
      <c r="F172" s="1322"/>
      <c r="G172" s="1322"/>
    </row>
    <row r="173" spans="2:7">
      <c r="B173" s="1322"/>
      <c r="C173" s="1323"/>
      <c r="D173" s="576" t="s">
        <v>1274</v>
      </c>
      <c r="E173" s="1323"/>
      <c r="F173" s="1322"/>
      <c r="G173" s="1322"/>
    </row>
    <row r="174" spans="2:7" ht="16.5">
      <c r="B174" s="1322"/>
      <c r="C174" s="1323"/>
      <c r="D174" s="576" t="s">
        <v>1275</v>
      </c>
      <c r="E174" s="1323"/>
      <c r="F174" s="1322"/>
      <c r="G174" s="1322"/>
    </row>
    <row r="175" spans="2:7" ht="16">
      <c r="B175" s="1322"/>
      <c r="C175" s="1323"/>
      <c r="D175" s="576" t="s">
        <v>1276</v>
      </c>
      <c r="E175" s="1323"/>
      <c r="F175" s="1322"/>
      <c r="G175" s="1322"/>
    </row>
    <row r="176" spans="2:7" ht="30">
      <c r="B176" s="1322"/>
      <c r="C176" s="1323"/>
      <c r="D176" s="576" t="s">
        <v>1698</v>
      </c>
      <c r="E176" s="1323"/>
      <c r="F176" s="1322"/>
      <c r="G176" s="1322"/>
    </row>
    <row r="177" spans="2:7">
      <c r="B177" s="1322"/>
      <c r="C177" s="1323"/>
      <c r="D177" s="576"/>
      <c r="E177" s="1323"/>
      <c r="F177" s="1322"/>
      <c r="G177" s="1322"/>
    </row>
    <row r="178" spans="2:7">
      <c r="B178" s="1322"/>
      <c r="C178" s="1323"/>
      <c r="D178" s="576" t="s">
        <v>1278</v>
      </c>
      <c r="E178" s="1323"/>
      <c r="F178" s="1322"/>
      <c r="G178" s="1322"/>
    </row>
    <row r="179" spans="2:7" ht="16">
      <c r="B179" s="1322"/>
      <c r="C179" s="1323"/>
      <c r="D179" s="576" t="s">
        <v>1279</v>
      </c>
      <c r="E179" s="1323"/>
      <c r="F179" s="1322"/>
      <c r="G179" s="1322"/>
    </row>
    <row r="180" spans="2:7">
      <c r="B180" s="1322"/>
      <c r="C180" s="1323"/>
      <c r="D180" s="576"/>
      <c r="E180" s="1323"/>
      <c r="F180" s="1322"/>
      <c r="G180" s="1322"/>
    </row>
    <row r="181" spans="2:7">
      <c r="B181" s="1322"/>
      <c r="C181" s="1323"/>
      <c r="D181" s="576" t="s">
        <v>1280</v>
      </c>
      <c r="E181" s="1323"/>
      <c r="F181" s="1322"/>
      <c r="G181" s="1322"/>
    </row>
    <row r="182" spans="2:7" ht="17" thickBot="1">
      <c r="B182" s="1317"/>
      <c r="C182" s="1319"/>
      <c r="D182" s="577" t="s">
        <v>1281</v>
      </c>
      <c r="E182" s="1319"/>
      <c r="F182" s="1317"/>
      <c r="G182" s="1317"/>
    </row>
    <row r="183" spans="2:7" ht="15" thickBot="1">
      <c r="B183" s="637"/>
      <c r="C183" s="577"/>
      <c r="D183" s="577" t="s">
        <v>1243</v>
      </c>
      <c r="E183" s="577"/>
      <c r="F183" s="577"/>
      <c r="G183" s="642" t="s">
        <v>1287</v>
      </c>
    </row>
    <row r="184" spans="2:7" ht="15" thickBot="1">
      <c r="B184" s="637"/>
      <c r="C184" s="577"/>
      <c r="D184" s="577" t="s">
        <v>1243</v>
      </c>
      <c r="E184" s="577"/>
      <c r="F184" s="577"/>
      <c r="G184" s="642" t="s">
        <v>1288</v>
      </c>
    </row>
    <row r="185" spans="2:7" ht="15" customHeight="1">
      <c r="B185" s="1316" t="s">
        <v>1289</v>
      </c>
      <c r="C185" s="1318"/>
      <c r="D185" s="597"/>
      <c r="E185" s="1327" t="s">
        <v>1699</v>
      </c>
      <c r="F185" s="1327" t="s">
        <v>1181</v>
      </c>
      <c r="G185" s="1316" t="s">
        <v>1291</v>
      </c>
    </row>
    <row r="186" spans="2:7">
      <c r="B186" s="1322"/>
      <c r="C186" s="1323"/>
      <c r="D186" s="574"/>
      <c r="E186" s="1328"/>
      <c r="F186" s="1328"/>
      <c r="G186" s="1322"/>
    </row>
    <row r="187" spans="2:7">
      <c r="B187" s="1322"/>
      <c r="C187" s="1323"/>
      <c r="D187" s="578"/>
      <c r="E187" s="1328"/>
      <c r="F187" s="1328"/>
      <c r="G187" s="1322"/>
    </row>
    <row r="188" spans="2:7">
      <c r="B188" s="1322"/>
      <c r="C188" s="1323"/>
      <c r="D188" s="578"/>
      <c r="E188" s="1328"/>
      <c r="F188" s="1328"/>
      <c r="G188" s="1322"/>
    </row>
    <row r="189" spans="2:7">
      <c r="B189" s="1322"/>
      <c r="C189" s="1323"/>
      <c r="D189" s="578"/>
      <c r="E189" s="1328"/>
      <c r="F189" s="1328"/>
      <c r="G189" s="1322"/>
    </row>
    <row r="190" spans="2:7">
      <c r="B190" s="1322"/>
      <c r="C190" s="1323"/>
      <c r="D190" s="578"/>
      <c r="E190" s="1328"/>
      <c r="F190" s="1328"/>
      <c r="G190" s="1322"/>
    </row>
    <row r="191" spans="2:7" ht="56.5" thickBot="1">
      <c r="B191" s="1317"/>
      <c r="C191" s="1319"/>
      <c r="D191" s="639" t="s">
        <v>1582</v>
      </c>
      <c r="E191" s="1329"/>
      <c r="F191" s="1329"/>
      <c r="G191" s="1317"/>
    </row>
    <row r="192" spans="2:7" ht="15" customHeight="1">
      <c r="B192" s="1316" t="s">
        <v>1292</v>
      </c>
      <c r="C192" s="1318"/>
      <c r="D192" s="1316" t="s">
        <v>1293</v>
      </c>
      <c r="E192" s="599">
        <v>9.17</v>
      </c>
      <c r="F192" s="1327"/>
      <c r="G192" s="1316" t="s">
        <v>1294</v>
      </c>
    </row>
    <row r="193" spans="2:7" ht="43.5" customHeight="1" thickBot="1">
      <c r="B193" s="1317"/>
      <c r="C193" s="1319"/>
      <c r="D193" s="1317"/>
      <c r="E193" s="600" t="s">
        <v>1692</v>
      </c>
      <c r="F193" s="1329"/>
      <c r="G193" s="1317"/>
    </row>
    <row r="194" spans="2:7">
      <c r="B194" s="1316" t="s">
        <v>437</v>
      </c>
      <c r="C194" s="1318"/>
      <c r="D194" s="576" t="s">
        <v>1295</v>
      </c>
      <c r="E194" s="1318"/>
      <c r="F194" s="576" t="s">
        <v>1297</v>
      </c>
      <c r="G194" s="1316" t="s">
        <v>1299</v>
      </c>
    </row>
    <row r="195" spans="2:7">
      <c r="B195" s="1322"/>
      <c r="C195" s="1323"/>
      <c r="D195" s="576"/>
      <c r="E195" s="1323"/>
      <c r="F195" s="576" t="s">
        <v>1298</v>
      </c>
      <c r="G195" s="1322"/>
    </row>
    <row r="196" spans="2:7" ht="16.5" thickBot="1">
      <c r="B196" s="1317"/>
      <c r="C196" s="1319"/>
      <c r="D196" s="577" t="s">
        <v>1296</v>
      </c>
      <c r="E196" s="1319"/>
      <c r="F196" s="581"/>
      <c r="G196" s="1317"/>
    </row>
    <row r="197" spans="2:7">
      <c r="B197" s="1316" t="s">
        <v>100</v>
      </c>
      <c r="C197" s="1318"/>
      <c r="D197" s="576"/>
      <c r="E197" s="1318" t="s">
        <v>1290</v>
      </c>
      <c r="F197" s="576" t="s">
        <v>1301</v>
      </c>
      <c r="G197" s="1316" t="s">
        <v>1303</v>
      </c>
    </row>
    <row r="198" spans="2:7" ht="15" thickBot="1">
      <c r="B198" s="1317"/>
      <c r="C198" s="1319"/>
      <c r="D198" s="577" t="s">
        <v>1300</v>
      </c>
      <c r="E198" s="1319"/>
      <c r="F198" s="577" t="s">
        <v>1302</v>
      </c>
      <c r="G198" s="1317"/>
    </row>
    <row r="199" spans="2:7">
      <c r="B199" s="1316" t="s">
        <v>100</v>
      </c>
      <c r="C199" s="1318"/>
      <c r="D199" s="1318" t="s">
        <v>1304</v>
      </c>
      <c r="E199" s="1318" t="s">
        <v>1290</v>
      </c>
      <c r="F199" s="576" t="s">
        <v>1301</v>
      </c>
      <c r="G199" s="1316" t="s">
        <v>1305</v>
      </c>
    </row>
    <row r="200" spans="2:7" ht="15" thickBot="1">
      <c r="B200" s="1317"/>
      <c r="C200" s="1319"/>
      <c r="D200" s="1319"/>
      <c r="E200" s="1319"/>
      <c r="F200" s="577" t="s">
        <v>1302</v>
      </c>
      <c r="G200" s="1317"/>
    </row>
    <row r="201" spans="2:7" ht="15" customHeight="1">
      <c r="B201" s="1316" t="s">
        <v>100</v>
      </c>
      <c r="C201" s="1318"/>
      <c r="D201" s="1318" t="s">
        <v>1306</v>
      </c>
      <c r="E201" s="1318" t="s">
        <v>1290</v>
      </c>
      <c r="F201" s="576" t="s">
        <v>1301</v>
      </c>
      <c r="G201" s="1316" t="s">
        <v>1307</v>
      </c>
    </row>
    <row r="202" spans="2:7" ht="15" thickBot="1">
      <c r="B202" s="1317"/>
      <c r="C202" s="1319"/>
      <c r="D202" s="1319"/>
      <c r="E202" s="1319"/>
      <c r="F202" s="577" t="s">
        <v>1302</v>
      </c>
      <c r="G202" s="1317"/>
    </row>
    <row r="203" spans="2:7">
      <c r="B203" s="1316" t="s">
        <v>729</v>
      </c>
      <c r="C203" s="1318"/>
      <c r="D203" s="1318" t="s">
        <v>1308</v>
      </c>
      <c r="E203" s="1318" t="s">
        <v>1290</v>
      </c>
      <c r="F203" s="576" t="s">
        <v>1301</v>
      </c>
      <c r="G203" s="1316" t="s">
        <v>1309</v>
      </c>
    </row>
    <row r="204" spans="2:7" ht="15" thickBot="1">
      <c r="B204" s="1317"/>
      <c r="C204" s="1319"/>
      <c r="D204" s="1319"/>
      <c r="E204" s="1319"/>
      <c r="F204" s="577" t="s">
        <v>1302</v>
      </c>
      <c r="G204" s="1317"/>
    </row>
    <row r="205" spans="2:7">
      <c r="B205" s="1316" t="s">
        <v>729</v>
      </c>
      <c r="C205" s="1318"/>
      <c r="D205" s="1318" t="s">
        <v>1310</v>
      </c>
      <c r="E205" s="1318" t="s">
        <v>1290</v>
      </c>
      <c r="F205" s="576" t="s">
        <v>1301</v>
      </c>
      <c r="G205" s="1316" t="s">
        <v>1311</v>
      </c>
    </row>
    <row r="206" spans="2:7" ht="15" thickBot="1">
      <c r="B206" s="1317"/>
      <c r="C206" s="1319"/>
      <c r="D206" s="1319"/>
      <c r="E206" s="1319"/>
      <c r="F206" s="577" t="s">
        <v>1302</v>
      </c>
      <c r="G206" s="1317"/>
    </row>
    <row r="207" spans="2:7">
      <c r="B207" s="1316" t="s">
        <v>103</v>
      </c>
      <c r="C207" s="1318"/>
      <c r="D207" s="1318" t="s">
        <v>1312</v>
      </c>
      <c r="E207" s="1318" t="s">
        <v>1290</v>
      </c>
      <c r="F207" s="576" t="s">
        <v>1301</v>
      </c>
      <c r="G207" s="1316" t="s">
        <v>1313</v>
      </c>
    </row>
    <row r="208" spans="2:7" ht="15" thickBot="1">
      <c r="B208" s="1317"/>
      <c r="C208" s="1319"/>
      <c r="D208" s="1319"/>
      <c r="E208" s="1319"/>
      <c r="F208" s="577" t="s">
        <v>1302</v>
      </c>
      <c r="G208" s="1317"/>
    </row>
    <row r="209" spans="2:7">
      <c r="B209" s="1316" t="s">
        <v>103</v>
      </c>
      <c r="C209" s="1318"/>
      <c r="D209" s="1318" t="s">
        <v>1314</v>
      </c>
      <c r="E209" s="1318" t="s">
        <v>1290</v>
      </c>
      <c r="F209" s="576" t="s">
        <v>1301</v>
      </c>
      <c r="G209" s="1316" t="s">
        <v>1315</v>
      </c>
    </row>
    <row r="210" spans="2:7" ht="15" thickBot="1">
      <c r="B210" s="1317"/>
      <c r="C210" s="1319"/>
      <c r="D210" s="1319"/>
      <c r="E210" s="1319"/>
      <c r="F210" s="577" t="s">
        <v>1302</v>
      </c>
      <c r="G210" s="1317"/>
    </row>
    <row r="211" spans="2:7">
      <c r="B211" s="1316" t="s">
        <v>103</v>
      </c>
      <c r="C211" s="1318"/>
      <c r="D211" s="1318" t="s">
        <v>1316</v>
      </c>
      <c r="E211" s="1318" t="s">
        <v>1290</v>
      </c>
      <c r="F211" s="576" t="s">
        <v>1301</v>
      </c>
      <c r="G211" s="1316" t="s">
        <v>1317</v>
      </c>
    </row>
    <row r="212" spans="2:7" ht="15" thickBot="1">
      <c r="B212" s="1317"/>
      <c r="C212" s="1319"/>
      <c r="D212" s="1319"/>
      <c r="E212" s="1319"/>
      <c r="F212" s="577" t="s">
        <v>1302</v>
      </c>
      <c r="G212" s="1317"/>
    </row>
    <row r="213" spans="2:7" ht="15" customHeight="1">
      <c r="B213" s="1316" t="s">
        <v>103</v>
      </c>
      <c r="C213" s="1318"/>
      <c r="D213" s="1318" t="s">
        <v>1318</v>
      </c>
      <c r="E213" s="1318" t="s">
        <v>1290</v>
      </c>
      <c r="F213" s="576" t="s">
        <v>1301</v>
      </c>
      <c r="G213" s="1316" t="s">
        <v>1319</v>
      </c>
    </row>
    <row r="214" spans="2:7" ht="15" thickBot="1">
      <c r="B214" s="1317"/>
      <c r="C214" s="1319"/>
      <c r="D214" s="1319"/>
      <c r="E214" s="1319"/>
      <c r="F214" s="577" t="s">
        <v>1302</v>
      </c>
      <c r="G214" s="1317"/>
    </row>
    <row r="215" spans="2:7">
      <c r="B215" s="1316" t="s">
        <v>546</v>
      </c>
      <c r="C215" s="1318"/>
      <c r="D215" s="1318" t="s">
        <v>1320</v>
      </c>
      <c r="E215" s="1318" t="s">
        <v>1290</v>
      </c>
      <c r="F215" s="576" t="s">
        <v>1301</v>
      </c>
      <c r="G215" s="1316" t="s">
        <v>1321</v>
      </c>
    </row>
    <row r="216" spans="2:7" ht="15" thickBot="1">
      <c r="B216" s="1317"/>
      <c r="C216" s="1319"/>
      <c r="D216" s="1319"/>
      <c r="E216" s="1319"/>
      <c r="F216" s="577" t="s">
        <v>1302</v>
      </c>
      <c r="G216" s="1317"/>
    </row>
    <row r="217" spans="2:7">
      <c r="B217" s="1316"/>
      <c r="C217" s="1318"/>
      <c r="D217" s="1318" t="s">
        <v>1243</v>
      </c>
      <c r="E217" s="1318"/>
      <c r="F217" s="1318"/>
      <c r="G217" s="1316" t="s">
        <v>1322</v>
      </c>
    </row>
    <row r="218" spans="2:7" ht="15" thickBot="1">
      <c r="B218" s="1317"/>
      <c r="C218" s="1319"/>
      <c r="D218" s="1319"/>
      <c r="E218" s="1319"/>
      <c r="F218" s="1319"/>
      <c r="G218" s="1317"/>
    </row>
    <row r="219" spans="2:7" ht="21" customHeight="1">
      <c r="B219" s="636" t="s">
        <v>1323</v>
      </c>
      <c r="C219" s="638"/>
      <c r="D219" s="576" t="s">
        <v>1324</v>
      </c>
      <c r="E219" s="576" t="s">
        <v>1264</v>
      </c>
      <c r="F219" s="576" t="s">
        <v>1331</v>
      </c>
      <c r="G219" s="636" t="s">
        <v>1333</v>
      </c>
    </row>
    <row r="220" spans="2:7" ht="16">
      <c r="B220" s="640"/>
      <c r="C220" s="641"/>
      <c r="D220" s="583" t="s">
        <v>494</v>
      </c>
      <c r="E220" s="576"/>
      <c r="F220" s="576" t="s">
        <v>1332</v>
      </c>
      <c r="G220" s="640"/>
    </row>
    <row r="221" spans="2:7">
      <c r="B221" s="640"/>
      <c r="C221" s="641"/>
      <c r="D221" s="576"/>
      <c r="E221" s="576" t="s">
        <v>1330</v>
      </c>
      <c r="F221" s="576"/>
      <c r="G221" s="640"/>
    </row>
    <row r="222" spans="2:7" ht="30">
      <c r="B222" s="640"/>
      <c r="C222" s="641"/>
      <c r="D222" s="576" t="s">
        <v>1325</v>
      </c>
      <c r="E222" s="576"/>
      <c r="F222" s="576" t="s">
        <v>1441</v>
      </c>
      <c r="G222" s="640"/>
    </row>
    <row r="223" spans="2:7">
      <c r="B223" s="640"/>
      <c r="C223" s="641"/>
      <c r="D223" s="576"/>
      <c r="E223" s="580"/>
      <c r="G223" s="640"/>
    </row>
    <row r="224" spans="2:7">
      <c r="B224" s="640"/>
      <c r="C224" s="641"/>
      <c r="D224" s="576" t="s">
        <v>1326</v>
      </c>
      <c r="E224" s="580"/>
      <c r="F224" s="580"/>
      <c r="G224" s="640"/>
    </row>
    <row r="225" spans="2:7" ht="16">
      <c r="B225" s="640"/>
      <c r="C225" s="641"/>
      <c r="D225" s="576" t="s">
        <v>1327</v>
      </c>
      <c r="E225" s="580"/>
      <c r="F225" s="576" t="s">
        <v>1177</v>
      </c>
      <c r="G225" s="640"/>
    </row>
    <row r="226" spans="2:7">
      <c r="B226" s="640"/>
      <c r="C226" s="641"/>
      <c r="D226" s="576"/>
      <c r="E226" s="580"/>
      <c r="F226" s="580"/>
      <c r="G226" s="640"/>
    </row>
    <row r="227" spans="2:7">
      <c r="B227" s="640"/>
      <c r="C227" s="641"/>
      <c r="D227" s="576" t="s">
        <v>1328</v>
      </c>
      <c r="E227" s="580"/>
      <c r="F227" s="580"/>
      <c r="G227" s="640"/>
    </row>
    <row r="228" spans="2:7">
      <c r="B228" s="640"/>
      <c r="C228" s="641"/>
      <c r="D228" s="576"/>
      <c r="E228" s="580"/>
      <c r="F228" s="580"/>
      <c r="G228" s="640"/>
    </row>
    <row r="229" spans="2:7" ht="28.5" thickBot="1">
      <c r="B229" s="640"/>
      <c r="C229" s="641"/>
      <c r="D229" s="577" t="s">
        <v>1329</v>
      </c>
      <c r="E229" s="580"/>
      <c r="F229" s="580"/>
      <c r="G229" s="640"/>
    </row>
    <row r="230" spans="2:7" ht="16">
      <c r="B230" s="1316" t="s">
        <v>547</v>
      </c>
      <c r="C230" s="1318"/>
      <c r="D230" s="576" t="s">
        <v>1334</v>
      </c>
      <c r="E230" s="1316"/>
      <c r="F230" s="1316" t="s">
        <v>1177</v>
      </c>
      <c r="G230" s="1316" t="s">
        <v>1337</v>
      </c>
    </row>
    <row r="231" spans="2:7">
      <c r="B231" s="1322"/>
      <c r="C231" s="1323"/>
      <c r="D231" s="576"/>
      <c r="E231" s="1322"/>
      <c r="F231" s="1322"/>
      <c r="G231" s="1322"/>
    </row>
    <row r="232" spans="2:7">
      <c r="B232" s="1322"/>
      <c r="C232" s="1323"/>
      <c r="D232" s="576" t="s">
        <v>1335</v>
      </c>
      <c r="E232" s="1322"/>
      <c r="F232" s="1322"/>
      <c r="G232" s="1322"/>
    </row>
    <row r="233" spans="2:7">
      <c r="B233" s="1322"/>
      <c r="C233" s="1323"/>
      <c r="D233" s="576" t="s">
        <v>1336</v>
      </c>
      <c r="E233" s="1322"/>
      <c r="F233" s="1322"/>
      <c r="G233" s="1322"/>
    </row>
    <row r="234" spans="2:7" ht="28.5" thickBot="1">
      <c r="B234" s="1317"/>
      <c r="C234" s="1319"/>
      <c r="D234" s="648" t="s">
        <v>1499</v>
      </c>
      <c r="E234" s="1317"/>
      <c r="F234" s="1317"/>
      <c r="G234" s="1317"/>
    </row>
    <row r="235" spans="2:7" ht="42">
      <c r="B235" s="1316" t="s">
        <v>1556</v>
      </c>
      <c r="C235" s="1318"/>
      <c r="D235" s="576" t="s">
        <v>1338</v>
      </c>
      <c r="E235" s="1316" t="s">
        <v>1342</v>
      </c>
      <c r="F235" s="1316" t="s">
        <v>1177</v>
      </c>
      <c r="G235" s="1316" t="s">
        <v>1343</v>
      </c>
    </row>
    <row r="236" spans="2:7">
      <c r="B236" s="1322"/>
      <c r="C236" s="1323"/>
      <c r="D236" s="576"/>
      <c r="E236" s="1322"/>
      <c r="F236" s="1322"/>
      <c r="G236" s="1322"/>
    </row>
    <row r="237" spans="2:7">
      <c r="B237" s="1322"/>
      <c r="C237" s="1323"/>
      <c r="D237" s="576" t="s">
        <v>1339</v>
      </c>
      <c r="E237" s="1322"/>
      <c r="F237" s="1322"/>
      <c r="G237" s="1322"/>
    </row>
    <row r="238" spans="2:7" ht="42">
      <c r="B238" s="1322"/>
      <c r="C238" s="1323"/>
      <c r="D238" s="576" t="s">
        <v>1340</v>
      </c>
      <c r="E238" s="1322"/>
      <c r="F238" s="1322"/>
      <c r="G238" s="1322"/>
    </row>
    <row r="239" spans="2:7">
      <c r="B239" s="1322"/>
      <c r="C239" s="1323"/>
      <c r="D239" s="576"/>
      <c r="E239" s="1322"/>
      <c r="F239" s="1322"/>
      <c r="G239" s="1322"/>
    </row>
    <row r="240" spans="2:7" ht="16.5">
      <c r="B240" s="1322"/>
      <c r="C240" s="1323"/>
      <c r="D240" s="576" t="s">
        <v>1341</v>
      </c>
      <c r="E240" s="1322"/>
      <c r="F240" s="1322"/>
      <c r="G240" s="1322"/>
    </row>
    <row r="241" spans="2:7" ht="28.5" thickBot="1">
      <c r="B241" s="1317"/>
      <c r="C241" s="1319"/>
      <c r="D241" s="648" t="s">
        <v>1499</v>
      </c>
      <c r="E241" s="1317"/>
      <c r="F241" s="1317"/>
      <c r="G241" s="1317"/>
    </row>
    <row r="242" spans="2:7" ht="28">
      <c r="B242" s="1316" t="s">
        <v>1344</v>
      </c>
      <c r="C242" s="1318"/>
      <c r="D242" s="576" t="s">
        <v>1345</v>
      </c>
      <c r="E242" s="1316" t="s">
        <v>1348</v>
      </c>
      <c r="F242" s="1316" t="s">
        <v>1177</v>
      </c>
      <c r="G242" s="1316" t="s">
        <v>1349</v>
      </c>
    </row>
    <row r="243" spans="2:7">
      <c r="B243" s="1322"/>
      <c r="C243" s="1323"/>
      <c r="D243" s="576"/>
      <c r="E243" s="1322"/>
      <c r="F243" s="1322"/>
      <c r="G243" s="1322"/>
    </row>
    <row r="244" spans="2:7">
      <c r="B244" s="1322"/>
      <c r="C244" s="1323"/>
      <c r="D244" s="576" t="s">
        <v>1346</v>
      </c>
      <c r="E244" s="1322"/>
      <c r="F244" s="1322"/>
      <c r="G244" s="1322"/>
    </row>
    <row r="245" spans="2:7">
      <c r="B245" s="1322"/>
      <c r="C245" s="1323"/>
      <c r="D245" s="576"/>
      <c r="E245" s="1322"/>
      <c r="F245" s="1322"/>
      <c r="G245" s="1322"/>
    </row>
    <row r="246" spans="2:7">
      <c r="B246" s="1322"/>
      <c r="C246" s="1323"/>
      <c r="D246" s="576" t="s">
        <v>1347</v>
      </c>
      <c r="E246" s="1322"/>
      <c r="F246" s="1322"/>
      <c r="G246" s="1322"/>
    </row>
    <row r="247" spans="2:7">
      <c r="B247" s="1322"/>
      <c r="C247" s="1323"/>
      <c r="D247" s="576"/>
      <c r="E247" s="1322"/>
      <c r="F247" s="1322"/>
      <c r="G247" s="1322"/>
    </row>
    <row r="248" spans="2:7" ht="42">
      <c r="B248" s="1322"/>
      <c r="C248" s="1323"/>
      <c r="D248" s="576" t="s">
        <v>1500</v>
      </c>
      <c r="E248" s="1322"/>
      <c r="F248" s="1322"/>
      <c r="G248" s="1322"/>
    </row>
    <row r="249" spans="2:7" ht="15" thickBot="1">
      <c r="B249" s="1317"/>
      <c r="C249" s="1319"/>
      <c r="D249" s="584"/>
      <c r="E249" s="1317"/>
      <c r="F249" s="1317"/>
      <c r="G249" s="1317"/>
    </row>
    <row r="250" spans="2:7">
      <c r="B250" s="1316" t="s">
        <v>1501</v>
      </c>
      <c r="C250" s="1318"/>
      <c r="D250" s="576" t="s">
        <v>1515</v>
      </c>
      <c r="E250" s="1316"/>
      <c r="F250" s="1316"/>
      <c r="G250" s="1316"/>
    </row>
    <row r="251" spans="2:7" ht="84.5" thickBot="1">
      <c r="B251" s="1317"/>
      <c r="C251" s="1319"/>
      <c r="D251" s="642" t="s">
        <v>1516</v>
      </c>
      <c r="E251" s="1317"/>
      <c r="F251" s="1317"/>
      <c r="G251" s="1317"/>
    </row>
    <row r="252" spans="2:7" ht="28.5" thickBot="1">
      <c r="B252" s="637" t="s">
        <v>1350</v>
      </c>
      <c r="C252" s="577"/>
      <c r="D252" s="577" t="s">
        <v>1351</v>
      </c>
      <c r="E252" s="642"/>
      <c r="F252" s="642" t="s">
        <v>1177</v>
      </c>
      <c r="G252" s="642" t="s">
        <v>1352</v>
      </c>
    </row>
    <row r="253" spans="2:7" ht="30.5" thickBot="1">
      <c r="B253" s="637" t="s">
        <v>1353</v>
      </c>
      <c r="C253" s="577"/>
      <c r="D253" s="585" t="s">
        <v>1354</v>
      </c>
      <c r="E253" s="642"/>
      <c r="F253" s="642" t="s">
        <v>1177</v>
      </c>
      <c r="G253" s="642" t="s">
        <v>1355</v>
      </c>
    </row>
    <row r="254" spans="2:7" ht="44.5" thickBot="1">
      <c r="B254" s="637" t="s">
        <v>1356</v>
      </c>
      <c r="C254" s="577"/>
      <c r="D254" s="577" t="s">
        <v>1357</v>
      </c>
      <c r="E254" s="642"/>
      <c r="F254" s="642" t="s">
        <v>1177</v>
      </c>
      <c r="G254" s="642" t="s">
        <v>1358</v>
      </c>
    </row>
    <row r="255" spans="2:7" ht="76.5" thickBot="1">
      <c r="B255" s="637" t="s">
        <v>1359</v>
      </c>
      <c r="C255" s="577"/>
      <c r="D255" s="577" t="s">
        <v>1360</v>
      </c>
      <c r="E255" s="577"/>
      <c r="F255" s="642" t="s">
        <v>1177</v>
      </c>
      <c r="G255" s="642" t="s">
        <v>1361</v>
      </c>
    </row>
    <row r="256" spans="2:7" ht="16.5" thickBot="1">
      <c r="B256" s="637" t="s">
        <v>1362</v>
      </c>
      <c r="C256" s="577"/>
      <c r="D256" s="577" t="s">
        <v>1363</v>
      </c>
      <c r="E256" s="577"/>
      <c r="F256" s="642" t="s">
        <v>1177</v>
      </c>
      <c r="G256" s="642" t="s">
        <v>1364</v>
      </c>
    </row>
    <row r="257" spans="2:7" ht="44">
      <c r="B257" s="1316" t="s">
        <v>1365</v>
      </c>
      <c r="C257" s="1318"/>
      <c r="D257" s="576" t="s">
        <v>1366</v>
      </c>
      <c r="E257" s="1318"/>
      <c r="F257" s="1316" t="s">
        <v>1177</v>
      </c>
      <c r="G257" s="1316" t="s">
        <v>1373</v>
      </c>
    </row>
    <row r="258" spans="2:7">
      <c r="B258" s="1322"/>
      <c r="C258" s="1323"/>
      <c r="D258" s="576" t="s">
        <v>1367</v>
      </c>
      <c r="E258" s="1323"/>
      <c r="F258" s="1322"/>
      <c r="G258" s="1322"/>
    </row>
    <row r="259" spans="2:7">
      <c r="B259" s="1322"/>
      <c r="C259" s="1323"/>
      <c r="D259" s="576"/>
      <c r="E259" s="1323"/>
      <c r="F259" s="1322"/>
      <c r="G259" s="1322"/>
    </row>
    <row r="260" spans="2:7" ht="17.5">
      <c r="B260" s="1322"/>
      <c r="C260" s="1323"/>
      <c r="D260" s="576" t="s">
        <v>1368</v>
      </c>
      <c r="E260" s="1323"/>
      <c r="F260" s="1322"/>
      <c r="G260" s="1322"/>
    </row>
    <row r="261" spans="2:7" ht="47.5">
      <c r="B261" s="1322"/>
      <c r="C261" s="1323"/>
      <c r="D261" s="576" t="s">
        <v>1369</v>
      </c>
      <c r="E261" s="1323"/>
      <c r="F261" s="1322"/>
      <c r="G261" s="1322"/>
    </row>
    <row r="262" spans="2:7">
      <c r="B262" s="1322"/>
      <c r="C262" s="1323"/>
      <c r="D262" s="576" t="s">
        <v>1370</v>
      </c>
      <c r="E262" s="1323"/>
      <c r="F262" s="1322"/>
      <c r="G262" s="1322"/>
    </row>
    <row r="263" spans="2:7">
      <c r="B263" s="1322"/>
      <c r="C263" s="1323"/>
      <c r="D263" s="576"/>
      <c r="E263" s="1323"/>
      <c r="F263" s="1322"/>
      <c r="G263" s="1322"/>
    </row>
    <row r="264" spans="2:7" ht="16">
      <c r="B264" s="1322"/>
      <c r="C264" s="1323"/>
      <c r="D264" s="576" t="s">
        <v>1371</v>
      </c>
      <c r="E264" s="1323"/>
      <c r="F264" s="1322"/>
      <c r="G264" s="1322"/>
    </row>
    <row r="265" spans="2:7" ht="16.5" thickBot="1">
      <c r="B265" s="1317"/>
      <c r="C265" s="1319"/>
      <c r="D265" s="577" t="s">
        <v>1372</v>
      </c>
      <c r="E265" s="1319"/>
      <c r="F265" s="1317"/>
      <c r="G265" s="1317"/>
    </row>
    <row r="266" spans="2:7" ht="48">
      <c r="B266" s="1316" t="s">
        <v>1374</v>
      </c>
      <c r="C266" s="1318"/>
      <c r="D266" s="576" t="s">
        <v>1375</v>
      </c>
      <c r="E266" s="1318"/>
      <c r="F266" s="1318"/>
      <c r="G266" s="1316" t="s">
        <v>1379</v>
      </c>
    </row>
    <row r="267" spans="2:7" ht="16">
      <c r="B267" s="1322"/>
      <c r="C267" s="1323"/>
      <c r="D267" s="576" t="s">
        <v>1376</v>
      </c>
      <c r="E267" s="1323"/>
      <c r="F267" s="1323"/>
      <c r="G267" s="1322"/>
    </row>
    <row r="268" spans="2:7">
      <c r="B268" s="1322"/>
      <c r="C268" s="1323"/>
      <c r="D268" s="576"/>
      <c r="E268" s="1323"/>
      <c r="F268" s="1323"/>
      <c r="G268" s="1322"/>
    </row>
    <row r="269" spans="2:7" ht="17.5">
      <c r="B269" s="1322"/>
      <c r="C269" s="1323"/>
      <c r="D269" s="576" t="s">
        <v>1377</v>
      </c>
      <c r="E269" s="1323"/>
      <c r="F269" s="1323"/>
      <c r="G269" s="1322"/>
    </row>
    <row r="270" spans="2:7" ht="49.5">
      <c r="B270" s="1322"/>
      <c r="C270" s="1323"/>
      <c r="D270" s="576" t="s">
        <v>1378</v>
      </c>
      <c r="E270" s="1323"/>
      <c r="F270" s="1323"/>
      <c r="G270" s="1322"/>
    </row>
    <row r="271" spans="2:7">
      <c r="B271" s="1322"/>
      <c r="C271" s="1323"/>
      <c r="D271" s="576"/>
      <c r="E271" s="1323"/>
      <c r="F271" s="1323"/>
      <c r="G271" s="1322"/>
    </row>
    <row r="272" spans="2:7" ht="46">
      <c r="B272" s="1322"/>
      <c r="C272" s="1323"/>
      <c r="D272" s="576" t="s">
        <v>1691</v>
      </c>
      <c r="E272" s="1323"/>
      <c r="F272" s="1323"/>
      <c r="G272" s="1322"/>
    </row>
    <row r="273" spans="2:7" ht="15" thickBot="1">
      <c r="B273" s="1317"/>
      <c r="C273" s="1319"/>
      <c r="D273" s="577"/>
      <c r="E273" s="1319"/>
      <c r="F273" s="1319"/>
      <c r="G273" s="1317"/>
    </row>
    <row r="274" spans="2:7" ht="42">
      <c r="B274" s="1316" t="s">
        <v>1380</v>
      </c>
      <c r="C274" s="1318"/>
      <c r="D274" s="576" t="s">
        <v>1502</v>
      </c>
      <c r="E274" s="1316" t="s">
        <v>1690</v>
      </c>
      <c r="F274" s="1316" t="s">
        <v>1383</v>
      </c>
      <c r="G274" s="1316" t="s">
        <v>1384</v>
      </c>
    </row>
    <row r="275" spans="2:7">
      <c r="B275" s="1322"/>
      <c r="C275" s="1323"/>
      <c r="D275" s="576"/>
      <c r="E275" s="1322"/>
      <c r="F275" s="1322"/>
      <c r="G275" s="1322"/>
    </row>
    <row r="276" spans="2:7" ht="16.5">
      <c r="B276" s="1322"/>
      <c r="C276" s="1323"/>
      <c r="D276" s="576" t="s">
        <v>1381</v>
      </c>
      <c r="E276" s="1322"/>
      <c r="F276" s="1322"/>
      <c r="G276" s="1322"/>
    </row>
    <row r="277" spans="2:7">
      <c r="B277" s="1322"/>
      <c r="C277" s="1323"/>
      <c r="D277" s="576"/>
      <c r="E277" s="1322"/>
      <c r="F277" s="1322"/>
      <c r="G277" s="1322"/>
    </row>
    <row r="278" spans="2:7" ht="15" thickBot="1">
      <c r="B278" s="1317"/>
      <c r="C278" s="1319"/>
      <c r="D278" s="577" t="s">
        <v>1382</v>
      </c>
      <c r="E278" s="1317"/>
      <c r="F278" s="1317"/>
      <c r="G278" s="1317"/>
    </row>
    <row r="279" spans="2:7">
      <c r="B279" s="590"/>
    </row>
    <row r="280" spans="2:7" ht="17" thickBot="1">
      <c r="B280" s="588" t="s">
        <v>1385</v>
      </c>
    </row>
    <row r="281" spans="2:7" ht="15" thickBot="1">
      <c r="C281" s="589" t="s">
        <v>1154</v>
      </c>
      <c r="D281" s="573" t="s">
        <v>1386</v>
      </c>
      <c r="E281" s="573" t="s">
        <v>1156</v>
      </c>
      <c r="F281" s="573" t="s">
        <v>1387</v>
      </c>
    </row>
    <row r="282" spans="2:7" ht="28">
      <c r="C282" s="636" t="s">
        <v>1388</v>
      </c>
      <c r="D282" s="638" t="s">
        <v>1703</v>
      </c>
      <c r="E282" s="638" t="s">
        <v>1692</v>
      </c>
      <c r="F282" s="638" t="s">
        <v>1442</v>
      </c>
    </row>
    <row r="283" spans="2:7" ht="15" thickBot="1">
      <c r="C283" s="637"/>
      <c r="D283" s="639"/>
      <c r="E283" s="639"/>
      <c r="F283" s="639"/>
    </row>
    <row r="284" spans="2:7" ht="42">
      <c r="C284" s="636" t="s">
        <v>1389</v>
      </c>
      <c r="D284" s="586" t="s">
        <v>1390</v>
      </c>
      <c r="E284" s="638" t="s">
        <v>1700</v>
      </c>
      <c r="F284" s="638" t="s">
        <v>1443</v>
      </c>
    </row>
    <row r="285" spans="2:7" ht="15" thickBot="1">
      <c r="C285" s="637"/>
      <c r="D285" s="577" t="s">
        <v>1391</v>
      </c>
      <c r="E285" s="639"/>
      <c r="F285" s="639"/>
    </row>
    <row r="286" spans="2:7" ht="28">
      <c r="C286" s="636" t="s">
        <v>1392</v>
      </c>
      <c r="D286" s="638" t="s">
        <v>1704</v>
      </c>
      <c r="E286" s="638" t="s">
        <v>1692</v>
      </c>
      <c r="F286" s="638"/>
    </row>
    <row r="287" spans="2:7" ht="15" thickBot="1">
      <c r="C287" s="637"/>
      <c r="D287" s="639"/>
      <c r="E287" s="639"/>
      <c r="F287" s="639"/>
    </row>
    <row r="288" spans="2:7" ht="200.25" customHeight="1" thickBot="1">
      <c r="C288" s="637" t="s">
        <v>1393</v>
      </c>
      <c r="D288" s="642"/>
      <c r="E288" s="642" t="s">
        <v>1290</v>
      </c>
      <c r="F288" s="577"/>
    </row>
    <row r="289" spans="2:6" ht="15" thickBot="1">
      <c r="C289" s="637"/>
      <c r="D289" s="577"/>
      <c r="E289" s="577"/>
      <c r="F289" s="577"/>
    </row>
    <row r="290" spans="2:6">
      <c r="C290" s="590"/>
    </row>
    <row r="291" spans="2:6" ht="17" thickBot="1">
      <c r="B291" s="588" t="s">
        <v>1394</v>
      </c>
    </row>
    <row r="292" spans="2:6" ht="15" thickBot="1">
      <c r="C292" s="589" t="s">
        <v>1154</v>
      </c>
      <c r="D292" s="573" t="s">
        <v>1395</v>
      </c>
      <c r="E292" s="573" t="s">
        <v>1156</v>
      </c>
      <c r="F292" s="573" t="s">
        <v>1387</v>
      </c>
    </row>
    <row r="293" spans="2:6">
      <c r="C293" s="636" t="s">
        <v>1396</v>
      </c>
      <c r="D293" s="576" t="s">
        <v>1397</v>
      </c>
      <c r="E293" s="576" t="s">
        <v>1690</v>
      </c>
      <c r="F293" s="576" t="s">
        <v>1220</v>
      </c>
    </row>
    <row r="294" spans="2:6" ht="15" customHeight="1">
      <c r="C294" s="640"/>
      <c r="D294" s="576"/>
      <c r="E294" s="1321" t="s">
        <v>1701</v>
      </c>
      <c r="F294" s="1321" t="s">
        <v>1402</v>
      </c>
    </row>
    <row r="295" spans="2:6">
      <c r="C295" s="640"/>
      <c r="D295" s="586" t="s">
        <v>1398</v>
      </c>
      <c r="E295" s="1321"/>
      <c r="F295" s="1321"/>
    </row>
    <row r="296" spans="2:6">
      <c r="C296" s="640"/>
      <c r="D296" s="576" t="s">
        <v>1705</v>
      </c>
      <c r="E296" s="1321"/>
      <c r="F296" s="580"/>
    </row>
    <row r="297" spans="2:6">
      <c r="C297" s="640"/>
      <c r="D297" s="576"/>
      <c r="E297" s="1321"/>
      <c r="F297" s="580"/>
    </row>
    <row r="298" spans="2:6">
      <c r="C298" s="640"/>
      <c r="D298" s="576" t="s">
        <v>1399</v>
      </c>
      <c r="E298" s="580"/>
      <c r="F298" s="580"/>
    </row>
    <row r="299" spans="2:6">
      <c r="C299" s="640"/>
      <c r="D299" s="576"/>
      <c r="E299" s="580"/>
      <c r="F299" s="580"/>
    </row>
    <row r="300" spans="2:6">
      <c r="C300" s="640"/>
      <c r="D300" s="586" t="s">
        <v>1400</v>
      </c>
      <c r="E300" s="580"/>
      <c r="F300" s="580"/>
    </row>
    <row r="301" spans="2:6">
      <c r="C301" s="640"/>
      <c r="D301" s="576" t="s">
        <v>1705</v>
      </c>
      <c r="E301" s="580"/>
      <c r="F301" s="580"/>
    </row>
    <row r="302" spans="2:6">
      <c r="C302" s="640"/>
      <c r="D302" s="576"/>
      <c r="E302" s="580"/>
      <c r="F302" s="580"/>
    </row>
    <row r="303" spans="2:6">
      <c r="C303" s="640"/>
      <c r="D303" s="576" t="s">
        <v>1401</v>
      </c>
      <c r="E303" s="580"/>
      <c r="F303" s="580"/>
    </row>
    <row r="304" spans="2:6" ht="15" thickBot="1">
      <c r="C304" s="637"/>
      <c r="D304" s="577"/>
      <c r="E304" s="581"/>
      <c r="F304" s="581"/>
    </row>
    <row r="305" spans="2:6">
      <c r="C305" s="636" t="s">
        <v>1403</v>
      </c>
      <c r="D305" s="638" t="s">
        <v>1404</v>
      </c>
      <c r="E305" s="638" t="s">
        <v>1690</v>
      </c>
      <c r="F305" s="576" t="s">
        <v>1220</v>
      </c>
    </row>
    <row r="306" spans="2:6" ht="28.5" thickBot="1">
      <c r="C306" s="637"/>
      <c r="D306" s="639"/>
      <c r="E306" s="639"/>
      <c r="F306" s="577" t="s">
        <v>1402</v>
      </c>
    </row>
    <row r="307" spans="2:6">
      <c r="B307" s="590"/>
    </row>
    <row r="308" spans="2:6">
      <c r="B308" s="590"/>
    </row>
  </sheetData>
  <sheetProtection algorithmName="SHA-512" hashValue="dypJ+BHeEHv02Mn5gm8NwlIwKQ69RSTwX4Fj1/nkN1Kervp43v0X8KdLZUNkh7anByAp7QFr4dMEH1pVES34Gg==" saltValue="D1yII00CnQu7P0rCQGG+3A==" spinCount="100000" sheet="1" objects="1" scenarios="1"/>
  <mergeCells count="228">
    <mergeCell ref="F294:F295"/>
    <mergeCell ref="E294:E297"/>
    <mergeCell ref="B266:B273"/>
    <mergeCell ref="C266:C273"/>
    <mergeCell ref="E266:E273"/>
    <mergeCell ref="F266:F273"/>
    <mergeCell ref="G266:G273"/>
    <mergeCell ref="B274:B278"/>
    <mergeCell ref="C274:C278"/>
    <mergeCell ref="E274:E278"/>
    <mergeCell ref="F274:F278"/>
    <mergeCell ref="G274:G278"/>
    <mergeCell ref="B250:B251"/>
    <mergeCell ref="C250:C251"/>
    <mergeCell ref="E250:E251"/>
    <mergeCell ref="F250:F251"/>
    <mergeCell ref="G250:G251"/>
    <mergeCell ref="B257:B265"/>
    <mergeCell ref="C257:C265"/>
    <mergeCell ref="E257:E265"/>
    <mergeCell ref="F257:F265"/>
    <mergeCell ref="G257:G265"/>
    <mergeCell ref="B235:B241"/>
    <mergeCell ref="C235:C241"/>
    <mergeCell ref="E235:E241"/>
    <mergeCell ref="F235:F241"/>
    <mergeCell ref="G235:G241"/>
    <mergeCell ref="B242:B249"/>
    <mergeCell ref="C242:C249"/>
    <mergeCell ref="E242:E249"/>
    <mergeCell ref="F242:F249"/>
    <mergeCell ref="G242:G249"/>
    <mergeCell ref="G217:G218"/>
    <mergeCell ref="B230:B234"/>
    <mergeCell ref="C230:C234"/>
    <mergeCell ref="E230:E234"/>
    <mergeCell ref="F230:F234"/>
    <mergeCell ref="G230:G234"/>
    <mergeCell ref="B215:B216"/>
    <mergeCell ref="C215:C216"/>
    <mergeCell ref="D215:D216"/>
    <mergeCell ref="E215:E216"/>
    <mergeCell ref="G215:G216"/>
    <mergeCell ref="B217:B218"/>
    <mergeCell ref="C217:C218"/>
    <mergeCell ref="D217:D218"/>
    <mergeCell ref="E217:E218"/>
    <mergeCell ref="F217:F218"/>
    <mergeCell ref="B211:B212"/>
    <mergeCell ref="C211:C212"/>
    <mergeCell ref="D211:D212"/>
    <mergeCell ref="E211:E212"/>
    <mergeCell ref="G211:G212"/>
    <mergeCell ref="B213:B214"/>
    <mergeCell ref="C213:C214"/>
    <mergeCell ref="D213:D214"/>
    <mergeCell ref="E213:E214"/>
    <mergeCell ref="G213:G214"/>
    <mergeCell ref="B207:B208"/>
    <mergeCell ref="C207:C208"/>
    <mergeCell ref="D207:D208"/>
    <mergeCell ref="E207:E208"/>
    <mergeCell ref="G207:G208"/>
    <mergeCell ref="B209:B210"/>
    <mergeCell ref="C209:C210"/>
    <mergeCell ref="D209:D210"/>
    <mergeCell ref="E209:E210"/>
    <mergeCell ref="G209:G210"/>
    <mergeCell ref="B203:B204"/>
    <mergeCell ref="C203:C204"/>
    <mergeCell ref="D203:D204"/>
    <mergeCell ref="E203:E204"/>
    <mergeCell ref="G203:G204"/>
    <mergeCell ref="B205:B206"/>
    <mergeCell ref="C205:C206"/>
    <mergeCell ref="D205:D206"/>
    <mergeCell ref="E205:E206"/>
    <mergeCell ref="G205:G206"/>
    <mergeCell ref="B199:B200"/>
    <mergeCell ref="C199:C200"/>
    <mergeCell ref="D199:D200"/>
    <mergeCell ref="E199:E200"/>
    <mergeCell ref="G199:G200"/>
    <mergeCell ref="B201:B202"/>
    <mergeCell ref="C201:C202"/>
    <mergeCell ref="D201:D202"/>
    <mergeCell ref="E201:E202"/>
    <mergeCell ref="G201:G202"/>
    <mergeCell ref="B194:B196"/>
    <mergeCell ref="C194:C196"/>
    <mergeCell ref="E194:E196"/>
    <mergeCell ref="G194:G196"/>
    <mergeCell ref="B197:B198"/>
    <mergeCell ref="C197:C198"/>
    <mergeCell ref="E197:E198"/>
    <mergeCell ref="G197:G198"/>
    <mergeCell ref="B185:B191"/>
    <mergeCell ref="C185:C191"/>
    <mergeCell ref="F185:F191"/>
    <mergeCell ref="G185:G191"/>
    <mergeCell ref="B192:B193"/>
    <mergeCell ref="C192:C193"/>
    <mergeCell ref="D192:D193"/>
    <mergeCell ref="F192:F193"/>
    <mergeCell ref="G192:G193"/>
    <mergeCell ref="E185:E191"/>
    <mergeCell ref="B154:B168"/>
    <mergeCell ref="C154:C168"/>
    <mergeCell ref="E154:E168"/>
    <mergeCell ref="F154:F168"/>
    <mergeCell ref="G154:G168"/>
    <mergeCell ref="B169:B182"/>
    <mergeCell ref="C169:C182"/>
    <mergeCell ref="E169:E182"/>
    <mergeCell ref="F169:F182"/>
    <mergeCell ref="G169:G182"/>
    <mergeCell ref="B136:B144"/>
    <mergeCell ref="C136:C144"/>
    <mergeCell ref="E136:E144"/>
    <mergeCell ref="F136:F144"/>
    <mergeCell ref="G136:G144"/>
    <mergeCell ref="B145:B153"/>
    <mergeCell ref="C145:C153"/>
    <mergeCell ref="E145:E153"/>
    <mergeCell ref="F145:F153"/>
    <mergeCell ref="G145:G153"/>
    <mergeCell ref="G132:G133"/>
    <mergeCell ref="B134:B135"/>
    <mergeCell ref="C134:C135"/>
    <mergeCell ref="D134:D135"/>
    <mergeCell ref="E134:E135"/>
    <mergeCell ref="F134:F135"/>
    <mergeCell ref="G134:G135"/>
    <mergeCell ref="B130:B131"/>
    <mergeCell ref="C130:C131"/>
    <mergeCell ref="E130:E131"/>
    <mergeCell ref="F130:F131"/>
    <mergeCell ref="G130:G131"/>
    <mergeCell ref="B132:B133"/>
    <mergeCell ref="C132:C133"/>
    <mergeCell ref="D132:D133"/>
    <mergeCell ref="E132:E133"/>
    <mergeCell ref="F132:F133"/>
    <mergeCell ref="B117:B119"/>
    <mergeCell ref="C117:C119"/>
    <mergeCell ref="F117:F119"/>
    <mergeCell ref="G117:G119"/>
    <mergeCell ref="B120:B129"/>
    <mergeCell ref="C120:C129"/>
    <mergeCell ref="E120:E129"/>
    <mergeCell ref="F120:F129"/>
    <mergeCell ref="G120:G129"/>
    <mergeCell ref="B115:B116"/>
    <mergeCell ref="C115:C116"/>
    <mergeCell ref="D115:D116"/>
    <mergeCell ref="E115:E116"/>
    <mergeCell ref="F115:F116"/>
    <mergeCell ref="G115:G116"/>
    <mergeCell ref="F112:F113"/>
    <mergeCell ref="B101:B107"/>
    <mergeCell ref="C101:C107"/>
    <mergeCell ref="E101:E107"/>
    <mergeCell ref="G101:G107"/>
    <mergeCell ref="B84:B85"/>
    <mergeCell ref="C84:C85"/>
    <mergeCell ref="D84:D85"/>
    <mergeCell ref="F84:F85"/>
    <mergeCell ref="G84:G85"/>
    <mergeCell ref="B86:B87"/>
    <mergeCell ref="C86:C87"/>
    <mergeCell ref="D86:D87"/>
    <mergeCell ref="F86:F87"/>
    <mergeCell ref="G86:G87"/>
    <mergeCell ref="B80:B81"/>
    <mergeCell ref="C80:C81"/>
    <mergeCell ref="D80:D81"/>
    <mergeCell ref="F80:F81"/>
    <mergeCell ref="G80:G81"/>
    <mergeCell ref="B82:B83"/>
    <mergeCell ref="C82:C83"/>
    <mergeCell ref="D82:D83"/>
    <mergeCell ref="F82:F83"/>
    <mergeCell ref="G82:G83"/>
    <mergeCell ref="B78:B79"/>
    <mergeCell ref="C78:C79"/>
    <mergeCell ref="D78:D79"/>
    <mergeCell ref="E78:E79"/>
    <mergeCell ref="F78:F79"/>
    <mergeCell ref="G78:G79"/>
    <mergeCell ref="B76:B77"/>
    <mergeCell ref="C76:C77"/>
    <mergeCell ref="D76:D77"/>
    <mergeCell ref="E76:E77"/>
    <mergeCell ref="F76:F77"/>
    <mergeCell ref="G76:G77"/>
    <mergeCell ref="B57:B58"/>
    <mergeCell ref="C57:C58"/>
    <mergeCell ref="D57:D58"/>
    <mergeCell ref="E57:E58"/>
    <mergeCell ref="F57:F58"/>
    <mergeCell ref="G57:G58"/>
    <mergeCell ref="B52:B53"/>
    <mergeCell ref="C52:C53"/>
    <mergeCell ref="D52:D53"/>
    <mergeCell ref="F52:F53"/>
    <mergeCell ref="G52:G53"/>
    <mergeCell ref="B54:B56"/>
    <mergeCell ref="C54:C56"/>
    <mergeCell ref="F54:F56"/>
    <mergeCell ref="G54:G56"/>
    <mergeCell ref="B50:B51"/>
    <mergeCell ref="C50:C51"/>
    <mergeCell ref="D50:D51"/>
    <mergeCell ref="E50:E51"/>
    <mergeCell ref="F50:F51"/>
    <mergeCell ref="G50:G51"/>
    <mergeCell ref="G9:G10"/>
    <mergeCell ref="E20:E21"/>
    <mergeCell ref="B6:B8"/>
    <mergeCell ref="C6:C8"/>
    <mergeCell ref="D6:D8"/>
    <mergeCell ref="E6:E8"/>
    <mergeCell ref="G6:G8"/>
    <mergeCell ref="B9:B10"/>
    <mergeCell ref="C9:C10"/>
    <mergeCell ref="D9:D10"/>
    <mergeCell ref="E9:E10"/>
    <mergeCell ref="F9:F10"/>
  </mergeCells>
  <hyperlinks>
    <hyperlink ref="E2" location="'Background &amp; Theory'!A102" display="Back to Background and Theory" xr:uid="{00000000-0004-0000-0D00-000000000000}"/>
  </hyperlinks>
  <pageMargins left="0.23622047244094491" right="0.23622047244094491" top="0.39370078740157483" bottom="0.39370078740157483" header="0.31496062992125984" footer="0.31496062992125984"/>
  <pageSetup paperSize="9" scale="83"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AG192"/>
  <sheetViews>
    <sheetView topLeftCell="A170" workbookViewId="0">
      <selection activeCell="F194" sqref="F194"/>
    </sheetView>
  </sheetViews>
  <sheetFormatPr defaultRowHeight="14.5"/>
  <cols>
    <col min="2" max="2" width="10.453125" customWidth="1"/>
    <col min="3" max="3" width="11.1796875" customWidth="1"/>
    <col min="4" max="4" width="16" customWidth="1"/>
    <col min="5" max="5" width="14.81640625" customWidth="1"/>
    <col min="6" max="8" width="13" customWidth="1"/>
    <col min="9" max="9" width="10.81640625" style="5" customWidth="1"/>
    <col min="10" max="11" width="9.1796875" style="5"/>
    <col min="12" max="12" width="21.81640625" customWidth="1"/>
    <col min="13" max="13" width="9.1796875" style="60" customWidth="1"/>
    <col min="14" max="14" width="10.81640625" customWidth="1"/>
    <col min="15" max="15" width="21.453125" customWidth="1"/>
    <col min="17" max="17" width="17" customWidth="1"/>
    <col min="19" max="19" width="21.81640625" customWidth="1"/>
    <col min="22" max="22" width="20.54296875" customWidth="1"/>
    <col min="23" max="23" width="20.54296875" style="59" customWidth="1"/>
    <col min="26" max="33" width="9.1796875" style="59"/>
  </cols>
  <sheetData>
    <row r="1" spans="1:26" s="5" customFormat="1">
      <c r="A1" s="5" t="s">
        <v>72</v>
      </c>
      <c r="D1" s="5" t="s">
        <v>1477</v>
      </c>
      <c r="H1" s="157" t="s">
        <v>750</v>
      </c>
      <c r="I1" s="157"/>
      <c r="J1" s="157"/>
      <c r="K1" s="157"/>
      <c r="L1" s="157"/>
      <c r="M1" s="157"/>
      <c r="O1" s="160" t="s">
        <v>749</v>
      </c>
      <c r="P1" s="160"/>
      <c r="Q1" s="160"/>
      <c r="S1" s="5" t="s">
        <v>599</v>
      </c>
      <c r="W1" s="59"/>
    </row>
    <row r="2" spans="1:26" s="5" customFormat="1">
      <c r="D2" s="91">
        <f>'Mixing Waters'!F32-'Mixing Waters'!E32+'Mixing Waters'!E35</f>
        <v>650</v>
      </c>
      <c r="E2" s="5">
        <f>SUM('Mixing Waters'!G32:G35)</f>
        <v>650</v>
      </c>
      <c r="F2" s="91">
        <f>SUM('Mixing Waters'!H32:H35)</f>
        <v>650.35623825349353</v>
      </c>
      <c r="H2" s="157" t="str">
        <f>'Quick Calculator'!AE43</f>
        <v>Sample</v>
      </c>
      <c r="I2" s="157" t="str">
        <f>'Quick Calculator'!AF43</f>
        <v>No/Description</v>
      </c>
      <c r="J2" s="157" t="str">
        <f>'Quick Calculator'!AG43</f>
        <v>ECi</v>
      </c>
      <c r="K2" s="157" t="str">
        <f>'Quick Calculator'!AH43</f>
        <v xml:space="preserve">ECi+r </v>
      </c>
      <c r="L2" s="157" t="str">
        <f>'Quick Calculator'!AI43</f>
        <v>SAR</v>
      </c>
      <c r="M2" s="157" t="str">
        <f>'Quick Calculator'!AJ43</f>
        <v>RA</v>
      </c>
      <c r="O2" s="176" t="s">
        <v>470</v>
      </c>
      <c r="P2" s="176" t="s">
        <v>59</v>
      </c>
      <c r="Q2" s="181" t="s">
        <v>605</v>
      </c>
      <c r="S2" s="59" t="s">
        <v>157</v>
      </c>
      <c r="T2" s="59"/>
      <c r="U2" s="59" t="s">
        <v>158</v>
      </c>
      <c r="V2" s="59"/>
      <c r="W2" s="59" t="s">
        <v>159</v>
      </c>
      <c r="X2" s="59"/>
      <c r="Y2" s="59" t="s">
        <v>160</v>
      </c>
      <c r="Z2" s="59"/>
    </row>
    <row r="3" spans="1:26" s="5" customFormat="1">
      <c r="A3" s="25" t="s">
        <v>73</v>
      </c>
      <c r="B3" s="25"/>
      <c r="C3" s="30"/>
      <c r="D3" s="30"/>
      <c r="E3" s="25"/>
      <c r="H3" s="157"/>
      <c r="I3" s="157"/>
      <c r="J3" s="157" t="str">
        <f>'Quick Calculator'!AG44</f>
        <v>dS/m</v>
      </c>
      <c r="K3" s="157" t="str">
        <f>'Quick Calculator'!AH44</f>
        <v>dS/m</v>
      </c>
      <c r="L3" s="157"/>
      <c r="M3" s="157" t="str">
        <f>'Quick Calculator'!AJ44</f>
        <v>mmolc/L</v>
      </c>
      <c r="N3" s="34"/>
      <c r="O3" s="160">
        <f>'Predictive Calculator'!BA10</f>
        <v>1.1352</v>
      </c>
      <c r="P3" s="160">
        <f>'Predictive Calculator'!BB10</f>
        <v>2</v>
      </c>
      <c r="Q3" s="160">
        <f>'Predictive Calculator'!BC10</f>
        <v>2.2510196371999172</v>
      </c>
      <c r="R3" s="34"/>
      <c r="S3" s="59" t="s">
        <v>155</v>
      </c>
      <c r="T3" s="59" t="s">
        <v>156</v>
      </c>
      <c r="U3" s="59" t="s">
        <v>155</v>
      </c>
      <c r="V3" s="59" t="s">
        <v>156</v>
      </c>
      <c r="W3" s="59" t="s">
        <v>155</v>
      </c>
      <c r="X3" s="59" t="s">
        <v>156</v>
      </c>
      <c r="Y3" s="59" t="s">
        <v>155</v>
      </c>
      <c r="Z3" s="59" t="s">
        <v>156</v>
      </c>
    </row>
    <row r="4" spans="1:26" s="5" customFormat="1">
      <c r="A4" s="25" t="s">
        <v>6</v>
      </c>
      <c r="B4" s="25" t="s">
        <v>1080</v>
      </c>
      <c r="C4" s="30" t="s">
        <v>121</v>
      </c>
      <c r="D4" s="30" t="s">
        <v>558</v>
      </c>
      <c r="E4" s="32" t="s">
        <v>142</v>
      </c>
      <c r="F4" s="32" t="s">
        <v>92</v>
      </c>
      <c r="G4" s="32" t="s">
        <v>60</v>
      </c>
      <c r="H4" s="157">
        <f>'Quick Calculator'!AE45</f>
        <v>1</v>
      </c>
      <c r="I4" s="157" t="str">
        <f>'Quick Calculator'!AF45</f>
        <v>Yelarbon bore</v>
      </c>
      <c r="J4" s="157">
        <f>'Quick Calculator'!AG45</f>
        <v>1.107</v>
      </c>
      <c r="K4" s="157">
        <f>'Quick Calculator'!AH45</f>
        <v>0.41354700854700854</v>
      </c>
      <c r="L4" s="157">
        <f>'Quick Calculator'!AI45</f>
        <v>19</v>
      </c>
      <c r="M4" s="157">
        <f>'Quick Calculator'!AJ45</f>
        <v>0</v>
      </c>
      <c r="N4" s="34"/>
      <c r="O4" s="160">
        <f>'Predictive Calculator'!BA11</f>
        <v>0.41354700854700854</v>
      </c>
      <c r="P4" s="160">
        <f>'Predictive Calculator'!BB11</f>
        <v>19</v>
      </c>
      <c r="Q4" s="160">
        <f>'Predictive Calculator'!BC11</f>
        <v>24.403675819467587</v>
      </c>
      <c r="R4" s="34"/>
      <c r="S4" s="59">
        <v>0.02</v>
      </c>
      <c r="T4" s="59">
        <f>10^(-1.006^-1*(0.87+LOG((0.03*1000)^-1.006/S4)))</f>
        <v>8.3844221973594063E-2</v>
      </c>
      <c r="U4" s="59">
        <v>0.02</v>
      </c>
      <c r="V4" s="59">
        <f>10^(-1.006^-1*(0.87+LOG((0.03*2000)^-1.006/U4)))</f>
        <v>0.1676884439471881</v>
      </c>
      <c r="W4" s="59">
        <v>0.02</v>
      </c>
      <c r="X4" s="59">
        <f>10^(-0.936^-1*(0.411+LOG((0.03*1000)^-0.936/W4)))</f>
        <v>0.16706281581709873</v>
      </c>
      <c r="Y4" s="59">
        <v>0.02</v>
      </c>
      <c r="Z4" s="59">
        <f>10^(-0.936^-1*(0.411+LOG((0.03*2000)^-0.936/Y4)))</f>
        <v>0.3341256316341974</v>
      </c>
    </row>
    <row r="5" spans="1:26" s="5" customFormat="1" ht="16.5">
      <c r="A5" s="7" t="s">
        <v>67</v>
      </c>
      <c r="B5" s="7" t="s">
        <v>69</v>
      </c>
      <c r="C5" s="7" t="s">
        <v>69</v>
      </c>
      <c r="D5" s="34" t="s">
        <v>559</v>
      </c>
      <c r="E5" s="35" t="s">
        <v>100</v>
      </c>
      <c r="F5" s="33" t="s">
        <v>67</v>
      </c>
      <c r="G5" s="161" t="s">
        <v>69</v>
      </c>
      <c r="H5" s="157">
        <f>'Quick Calculator'!AE46</f>
        <v>2</v>
      </c>
      <c r="I5" s="157" t="str">
        <f>'Quick Calculator'!AF46</f>
        <v>Burd 12001253  11/93</v>
      </c>
      <c r="J5" s="157">
        <f>'Quick Calculator'!AG46</f>
        <v>1.35</v>
      </c>
      <c r="K5" s="157">
        <f>'Quick Calculator'!AH46</f>
        <v>0.69</v>
      </c>
      <c r="L5" s="157">
        <f>'Quick Calculator'!AI46</f>
        <v>6.5</v>
      </c>
      <c r="M5" s="157">
        <f>'Quick Calculator'!AJ46</f>
        <v>2.31</v>
      </c>
      <c r="N5" s="34"/>
      <c r="O5" s="160">
        <f>'Predictive Calculator'!BA12</f>
        <v>2.0136182336182333</v>
      </c>
      <c r="P5" s="160">
        <f>'Predictive Calculator'!BB12</f>
        <v>26</v>
      </c>
      <c r="Q5" s="160">
        <f>'Predictive Calculator'!BC12</f>
        <v>30</v>
      </c>
      <c r="R5" s="34"/>
      <c r="S5" s="59">
        <v>0.08</v>
      </c>
      <c r="T5" s="59">
        <f t="shared" ref="T5:T68" si="0">10^(-1.006^-1*(0.87+LOG((0.03*1000)^-1.006/S5)))</f>
        <v>0.33261537111560946</v>
      </c>
      <c r="U5" s="59">
        <v>0.08</v>
      </c>
      <c r="V5" s="59">
        <f t="shared" ref="V5:V68" si="1">10^(-1.006^-1*(0.87+LOG((0.03*2000)^-1.006/U5)))</f>
        <v>0.6652307422312187</v>
      </c>
      <c r="W5" s="59">
        <v>0.08</v>
      </c>
      <c r="X5" s="59">
        <f t="shared" ref="X5:X68" si="2">10^(-0.936^-1*(0.411+LOG((0.03*1000)^-0.936/W5)))</f>
        <v>0.73469364548166693</v>
      </c>
      <c r="Y5" s="59">
        <v>0.08</v>
      </c>
      <c r="Z5" s="59">
        <f t="shared" ref="Z5:Z68" si="3">10^(-0.936^-1*(0.411+LOG((0.03*2000)^-0.936/Y5)))</f>
        <v>1.4693872909633336</v>
      </c>
    </row>
    <row r="6" spans="1:26" s="5" customFormat="1">
      <c r="A6" s="9" t="s">
        <v>70</v>
      </c>
      <c r="B6" s="7" t="s">
        <v>68</v>
      </c>
      <c r="C6" s="5" t="s">
        <v>76</v>
      </c>
      <c r="D6" s="5" t="s">
        <v>110</v>
      </c>
      <c r="E6" s="34" t="s">
        <v>101</v>
      </c>
      <c r="F6" s="9" t="s">
        <v>70</v>
      </c>
      <c r="G6" s="162" t="s">
        <v>75</v>
      </c>
      <c r="H6" s="157">
        <f>'Quick Calculator'!AE47</f>
        <v>3</v>
      </c>
      <c r="I6" s="157">
        <f>'Quick Calculator'!AF47</f>
        <v>14310218</v>
      </c>
      <c r="J6" s="157">
        <f>'Quick Calculator'!AG47</f>
        <v>5.6</v>
      </c>
      <c r="K6" s="157">
        <f>'Quick Calculator'!AH47</f>
        <v>2.0136182336182333</v>
      </c>
      <c r="L6" s="157">
        <f>'Quick Calculator'!AI47</f>
        <v>26</v>
      </c>
      <c r="M6" s="157">
        <f>'Quick Calculator'!AJ47</f>
        <v>7.5</v>
      </c>
      <c r="S6" s="59">
        <v>0.14000000000000001</v>
      </c>
      <c r="T6" s="59">
        <f t="shared" si="0"/>
        <v>0.58013735816878154</v>
      </c>
      <c r="U6" s="59">
        <v>0.14000000000000001</v>
      </c>
      <c r="V6" s="59">
        <f t="shared" si="1"/>
        <v>1.1602747163375629</v>
      </c>
      <c r="W6" s="59">
        <v>0.14000000000000001</v>
      </c>
      <c r="X6" s="59">
        <f t="shared" si="2"/>
        <v>1.3358642221050663</v>
      </c>
      <c r="Y6" s="59">
        <v>0.14000000000000001</v>
      </c>
      <c r="Z6" s="59">
        <f t="shared" si="3"/>
        <v>2.6717284442101321</v>
      </c>
    </row>
    <row r="7" spans="1:26" s="5" customFormat="1">
      <c r="A7" s="37" t="s">
        <v>152</v>
      </c>
      <c r="B7" s="34" t="s">
        <v>74</v>
      </c>
      <c r="C7" s="5" t="s">
        <v>77</v>
      </c>
      <c r="D7" s="5" t="s">
        <v>74</v>
      </c>
      <c r="E7" s="34" t="s">
        <v>102</v>
      </c>
      <c r="H7" s="157">
        <f>'Quick Calculator'!AE48</f>
        <v>4</v>
      </c>
      <c r="I7" s="157" t="str">
        <f>'Quick Calculator'!AF48</f>
        <v>Tenthill 14320222</v>
      </c>
      <c r="J7" s="157">
        <f>'Quick Calculator'!AG48</f>
        <v>3.1</v>
      </c>
      <c r="K7" s="157">
        <f>'Quick Calculator'!AH48</f>
        <v>1.1352</v>
      </c>
      <c r="L7" s="157">
        <f>'Quick Calculator'!AI48</f>
        <v>2</v>
      </c>
      <c r="M7" s="157">
        <f>'Quick Calculator'!AJ48</f>
        <v>0</v>
      </c>
      <c r="S7" s="59">
        <v>0.2</v>
      </c>
      <c r="T7" s="59">
        <f t="shared" si="0"/>
        <v>0.82700650264222464</v>
      </c>
      <c r="U7" s="59">
        <v>0.2</v>
      </c>
      <c r="V7" s="59">
        <f t="shared" si="1"/>
        <v>1.6540130052844484</v>
      </c>
      <c r="W7" s="59">
        <v>0.2</v>
      </c>
      <c r="X7" s="59">
        <f t="shared" si="2"/>
        <v>1.9554911980580727</v>
      </c>
      <c r="Y7" s="59">
        <v>0.2</v>
      </c>
      <c r="Z7" s="59">
        <f t="shared" si="3"/>
        <v>3.910982396116145</v>
      </c>
    </row>
    <row r="8" spans="1:26" s="5" customFormat="1">
      <c r="B8" s="34" t="s">
        <v>75</v>
      </c>
      <c r="E8" s="34" t="s">
        <v>103</v>
      </c>
      <c r="H8" s="157">
        <f>'Quick Calculator'!AE49</f>
        <v>5</v>
      </c>
      <c r="I8" s="157" t="str">
        <f>'Quick Calculator'!AF49</f>
        <v xml:space="preserve">Rainfall - No irrigation </v>
      </c>
      <c r="J8" s="157">
        <f>'Quick Calculator'!AG49</f>
        <v>0.03</v>
      </c>
      <c r="K8" s="157">
        <f>'Quick Calculator'!AH49</f>
        <v>3.0000000000000002E-2</v>
      </c>
      <c r="L8" s="157">
        <f>'Quick Calculator'!AI49</f>
        <v>0.52</v>
      </c>
      <c r="M8" s="157">
        <f>'Quick Calculator'!AJ49</f>
        <v>0</v>
      </c>
      <c r="S8" s="59">
        <v>0.26</v>
      </c>
      <c r="T8" s="59">
        <f t="shared" si="0"/>
        <v>1.0734274427239909</v>
      </c>
      <c r="U8" s="59">
        <v>0.26</v>
      </c>
      <c r="V8" s="59">
        <f t="shared" si="1"/>
        <v>2.1468548854479819</v>
      </c>
      <c r="W8" s="59">
        <v>0.26</v>
      </c>
      <c r="X8" s="59">
        <f t="shared" si="2"/>
        <v>2.5881546086269887</v>
      </c>
      <c r="Y8" s="59">
        <v>0.26</v>
      </c>
      <c r="Z8" s="59">
        <f t="shared" si="3"/>
        <v>5.1763092172539764</v>
      </c>
    </row>
    <row r="9" spans="1:26" s="5" customFormat="1">
      <c r="E9" s="33"/>
      <c r="M9" s="60"/>
      <c r="S9" s="59">
        <v>0.32</v>
      </c>
      <c r="T9" s="59">
        <f t="shared" si="0"/>
        <v>1.3195063714374664</v>
      </c>
      <c r="U9" s="59">
        <v>0.32</v>
      </c>
      <c r="V9" s="59">
        <f t="shared" si="1"/>
        <v>2.6390127428749315</v>
      </c>
      <c r="W9" s="59">
        <v>0.32</v>
      </c>
      <c r="X9" s="59">
        <f t="shared" si="2"/>
        <v>3.2309688428937391</v>
      </c>
      <c r="Y9" s="59">
        <v>0.32</v>
      </c>
      <c r="Z9" s="59">
        <f t="shared" si="3"/>
        <v>6.4619376857874782</v>
      </c>
    </row>
    <row r="10" spans="1:26" s="24" customFormat="1">
      <c r="E10" s="5"/>
      <c r="M10" s="60"/>
      <c r="S10" s="59">
        <v>0.38</v>
      </c>
      <c r="T10" s="59">
        <f t="shared" si="0"/>
        <v>1.5653086276587731</v>
      </c>
      <c r="U10" s="59">
        <v>0.38</v>
      </c>
      <c r="V10" s="59">
        <f t="shared" si="1"/>
        <v>3.1306172553175453</v>
      </c>
      <c r="W10" s="59">
        <v>0.38</v>
      </c>
      <c r="X10" s="59">
        <f t="shared" si="2"/>
        <v>3.8821252381209681</v>
      </c>
      <c r="Y10" s="59">
        <v>0.38</v>
      </c>
      <c r="Z10" s="59">
        <f t="shared" si="3"/>
        <v>7.7642504762419362</v>
      </c>
    </row>
    <row r="11" spans="1:26" s="24" customFormat="1">
      <c r="A11" s="25" t="s">
        <v>124</v>
      </c>
      <c r="M11" s="60"/>
      <c r="S11" s="59">
        <v>0.44</v>
      </c>
      <c r="T11" s="59">
        <f t="shared" si="0"/>
        <v>1.8108785428643381</v>
      </c>
      <c r="U11" s="59">
        <v>0.44</v>
      </c>
      <c r="V11" s="59">
        <f t="shared" si="1"/>
        <v>3.6217570857286736</v>
      </c>
      <c r="W11" s="59">
        <v>0.44</v>
      </c>
      <c r="X11" s="59">
        <f t="shared" si="2"/>
        <v>4.5403785463496797</v>
      </c>
      <c r="Y11" s="59">
        <v>0.44</v>
      </c>
      <c r="Z11" s="59">
        <f t="shared" si="3"/>
        <v>9.0807570926993595</v>
      </c>
    </row>
    <row r="12" spans="1:26" s="24" customFormat="1">
      <c r="B12" s="31" t="s">
        <v>451</v>
      </c>
      <c r="C12" s="31" t="s">
        <v>451</v>
      </c>
      <c r="D12" s="31" t="s">
        <v>451</v>
      </c>
      <c r="E12" s="24" t="s">
        <v>126</v>
      </c>
      <c r="F12" s="24" t="s">
        <v>126</v>
      </c>
      <c r="G12" s="24" t="s">
        <v>126</v>
      </c>
      <c r="H12" s="31" t="s">
        <v>452</v>
      </c>
      <c r="I12" s="31" t="s">
        <v>452</v>
      </c>
      <c r="J12" s="31" t="s">
        <v>452</v>
      </c>
      <c r="M12" s="60"/>
      <c r="O12" s="24" t="s">
        <v>763</v>
      </c>
      <c r="S12" s="59">
        <v>0.5</v>
      </c>
      <c r="T12" s="59">
        <f t="shared" si="0"/>
        <v>2.0562481917734408</v>
      </c>
      <c r="U12" s="59">
        <v>0.5</v>
      </c>
      <c r="V12" s="59">
        <f t="shared" si="1"/>
        <v>4.1124963835468806</v>
      </c>
      <c r="W12" s="59">
        <v>0.5</v>
      </c>
      <c r="X12" s="59">
        <f t="shared" si="2"/>
        <v>5.2048167956803377</v>
      </c>
      <c r="Y12" s="59">
        <v>0.5</v>
      </c>
      <c r="Z12" s="59">
        <f t="shared" si="3"/>
        <v>10.409633591360677</v>
      </c>
    </row>
    <row r="13" spans="1:26" s="24" customFormat="1">
      <c r="A13" s="24" t="s">
        <v>43</v>
      </c>
      <c r="B13" s="31" t="s">
        <v>125</v>
      </c>
      <c r="C13" s="31" t="s">
        <v>471</v>
      </c>
      <c r="D13" s="31" t="s">
        <v>127</v>
      </c>
      <c r="E13" s="24" t="s">
        <v>125</v>
      </c>
      <c r="F13" s="31" t="s">
        <v>471</v>
      </c>
      <c r="G13" s="24" t="s">
        <v>127</v>
      </c>
      <c r="H13" s="31" t="s">
        <v>125</v>
      </c>
      <c r="I13" s="31" t="s">
        <v>471</v>
      </c>
      <c r="J13" s="31" t="s">
        <v>127</v>
      </c>
      <c r="K13" s="24" t="s">
        <v>128</v>
      </c>
      <c r="L13" s="24" t="s">
        <v>129</v>
      </c>
      <c r="M13" s="60"/>
      <c r="O13" s="24" t="s">
        <v>764</v>
      </c>
      <c r="P13" s="24" t="s">
        <v>765</v>
      </c>
      <c r="Q13" s="24" t="s">
        <v>437</v>
      </c>
      <c r="S13" s="59">
        <v>0.56000000000000005</v>
      </c>
      <c r="T13" s="59">
        <f t="shared" si="0"/>
        <v>2.3014418661563854</v>
      </c>
      <c r="U13" s="59">
        <v>0.56000000000000005</v>
      </c>
      <c r="V13" s="59">
        <f t="shared" si="1"/>
        <v>4.6028837323127698</v>
      </c>
      <c r="W13" s="59">
        <v>0.56000000000000005</v>
      </c>
      <c r="X13" s="59">
        <f t="shared" si="2"/>
        <v>5.874742086721441</v>
      </c>
      <c r="Y13" s="59">
        <v>0.56000000000000005</v>
      </c>
      <c r="Z13" s="59">
        <f t="shared" si="3"/>
        <v>11.749484173442884</v>
      </c>
    </row>
    <row r="14" spans="1:26" s="24" customFormat="1">
      <c r="A14" s="43">
        <v>1</v>
      </c>
      <c r="B14" s="43" t="s">
        <v>453</v>
      </c>
      <c r="C14" s="43">
        <v>0.50388982437233409</v>
      </c>
      <c r="D14" s="47" t="s">
        <v>472</v>
      </c>
      <c r="E14" s="43" t="s">
        <v>131</v>
      </c>
      <c r="F14" s="43">
        <v>0.62404715187748006</v>
      </c>
      <c r="G14" s="43" t="s">
        <v>130</v>
      </c>
      <c r="H14" s="43" t="s">
        <v>459</v>
      </c>
      <c r="I14" s="43">
        <v>0.73162913055912149</v>
      </c>
      <c r="J14" s="47">
        <v>250</v>
      </c>
      <c r="K14" s="24" t="s">
        <v>439</v>
      </c>
      <c r="L14" s="24" t="s">
        <v>445</v>
      </c>
      <c r="M14" s="60"/>
      <c r="O14" s="24">
        <v>100</v>
      </c>
      <c r="P14" s="161" t="s">
        <v>887</v>
      </c>
      <c r="Q14" s="24" t="s">
        <v>783</v>
      </c>
      <c r="R14" s="24" t="s">
        <v>59</v>
      </c>
      <c r="S14" s="59">
        <v>0.62</v>
      </c>
      <c r="T14" s="59">
        <f t="shared" si="0"/>
        <v>2.5464786043202654</v>
      </c>
      <c r="U14" s="59">
        <v>0.62</v>
      </c>
      <c r="V14" s="59">
        <f t="shared" si="1"/>
        <v>5.0929572086405281</v>
      </c>
      <c r="W14" s="59">
        <v>0.62</v>
      </c>
      <c r="X14" s="59">
        <f t="shared" si="2"/>
        <v>6.5496024536741011</v>
      </c>
      <c r="Y14" s="59">
        <v>0.62</v>
      </c>
      <c r="Z14" s="59">
        <f t="shared" si="3"/>
        <v>13.0992049073482</v>
      </c>
    </row>
    <row r="15" spans="1:26" s="24" customFormat="1">
      <c r="A15" s="43">
        <v>2</v>
      </c>
      <c r="B15" s="43" t="s">
        <v>454</v>
      </c>
      <c r="C15" s="43">
        <v>1.0077796487446682</v>
      </c>
      <c r="D15" s="47">
        <v>250</v>
      </c>
      <c r="E15" s="43" t="s">
        <v>132</v>
      </c>
      <c r="F15" s="43">
        <v>1.2480943037549601</v>
      </c>
      <c r="G15" s="43" t="s">
        <v>133</v>
      </c>
      <c r="H15" s="43" t="s">
        <v>460</v>
      </c>
      <c r="I15" s="43">
        <v>1.463258261118243</v>
      </c>
      <c r="J15" s="47">
        <v>500</v>
      </c>
      <c r="K15" s="24" t="s">
        <v>440</v>
      </c>
      <c r="L15" s="24" t="s">
        <v>446</v>
      </c>
      <c r="M15" s="60"/>
      <c r="O15" s="24">
        <v>90</v>
      </c>
      <c r="P15" s="161" t="s">
        <v>888</v>
      </c>
      <c r="Q15" s="24" t="s">
        <v>785</v>
      </c>
      <c r="R15" s="24" t="s">
        <v>605</v>
      </c>
      <c r="S15" s="59">
        <v>0.68</v>
      </c>
      <c r="T15" s="59">
        <f t="shared" si="0"/>
        <v>2.7913737303591102</v>
      </c>
      <c r="U15" s="59">
        <v>0.68</v>
      </c>
      <c r="V15" s="59">
        <f t="shared" si="1"/>
        <v>5.5827474607182168</v>
      </c>
      <c r="W15" s="59">
        <v>0.68</v>
      </c>
      <c r="X15" s="59">
        <f t="shared" si="2"/>
        <v>7.2289500064033536</v>
      </c>
      <c r="Y15" s="59">
        <v>0.68</v>
      </c>
      <c r="Z15" s="59">
        <f t="shared" si="3"/>
        <v>14.457900012806713</v>
      </c>
    </row>
    <row r="16" spans="1:26" s="24" customFormat="1">
      <c r="A16" s="43">
        <v>3</v>
      </c>
      <c r="B16" s="43" t="s">
        <v>455</v>
      </c>
      <c r="C16" s="43">
        <v>2.38684653650053</v>
      </c>
      <c r="D16" s="47">
        <v>650</v>
      </c>
      <c r="E16" s="43" t="s">
        <v>134</v>
      </c>
      <c r="F16" s="43">
        <v>2.9560128246828006</v>
      </c>
      <c r="G16" s="43" t="s">
        <v>135</v>
      </c>
      <c r="H16" s="43" t="s">
        <v>461</v>
      </c>
      <c r="I16" s="43">
        <v>3.4656116710695226</v>
      </c>
      <c r="J16" s="47">
        <v>1000</v>
      </c>
      <c r="K16" s="24" t="s">
        <v>441</v>
      </c>
      <c r="L16" s="24" t="s">
        <v>447</v>
      </c>
      <c r="M16" s="60"/>
      <c r="O16" s="24">
        <v>80</v>
      </c>
      <c r="P16" s="269" t="s">
        <v>889</v>
      </c>
      <c r="Q16" s="24" t="s">
        <v>784</v>
      </c>
      <c r="S16" s="59">
        <v>0.74</v>
      </c>
      <c r="T16" s="59">
        <f t="shared" si="0"/>
        <v>3.0361398450408026</v>
      </c>
      <c r="U16" s="59">
        <v>0.74</v>
      </c>
      <c r="V16" s="59">
        <f t="shared" si="1"/>
        <v>6.0722796900815998</v>
      </c>
      <c r="W16" s="59">
        <v>0.74</v>
      </c>
      <c r="X16" s="59">
        <f t="shared" si="2"/>
        <v>7.9124137589464203</v>
      </c>
      <c r="Y16" s="59">
        <v>0.74</v>
      </c>
      <c r="Z16" s="59">
        <f t="shared" si="3"/>
        <v>15.824827517892842</v>
      </c>
    </row>
    <row r="17" spans="1:26" s="24" customFormat="1">
      <c r="A17" s="43">
        <v>4</v>
      </c>
      <c r="B17" s="43" t="s">
        <v>456</v>
      </c>
      <c r="C17" s="43">
        <v>4.0841596291231292</v>
      </c>
      <c r="D17" s="47">
        <v>1200</v>
      </c>
      <c r="E17" s="43" t="s">
        <v>136</v>
      </c>
      <c r="F17" s="43">
        <v>5.0580663889016808</v>
      </c>
      <c r="G17" s="43" t="s">
        <v>137</v>
      </c>
      <c r="H17" s="43" t="s">
        <v>462</v>
      </c>
      <c r="I17" s="43">
        <v>5.9300466371634055</v>
      </c>
      <c r="J17" s="47">
        <v>1700</v>
      </c>
      <c r="K17" s="24" t="s">
        <v>442</v>
      </c>
      <c r="L17" s="24" t="s">
        <v>448</v>
      </c>
      <c r="M17" s="60"/>
      <c r="O17" s="24">
        <v>75</v>
      </c>
      <c r="S17" s="59">
        <v>0.8</v>
      </c>
      <c r="T17" s="59">
        <f t="shared" si="0"/>
        <v>3.280787492762447</v>
      </c>
      <c r="U17" s="59">
        <v>0.8</v>
      </c>
      <c r="V17" s="59">
        <f t="shared" si="1"/>
        <v>6.561574985524893</v>
      </c>
      <c r="W17" s="59">
        <v>0.8</v>
      </c>
      <c r="X17" s="59">
        <f t="shared" si="2"/>
        <v>8.5996812036347468</v>
      </c>
      <c r="Y17" s="59">
        <v>0.8</v>
      </c>
      <c r="Z17" s="59">
        <f t="shared" si="3"/>
        <v>17.199362407269494</v>
      </c>
    </row>
    <row r="18" spans="1:26" s="24" customFormat="1">
      <c r="A18" s="43">
        <v>5</v>
      </c>
      <c r="B18" s="43" t="s">
        <v>457</v>
      </c>
      <c r="C18" s="43">
        <v>6.4710061656236588</v>
      </c>
      <c r="D18" s="47">
        <v>2000</v>
      </c>
      <c r="E18" s="43" t="s">
        <v>138</v>
      </c>
      <c r="F18" s="43">
        <v>8.0140792135844805</v>
      </c>
      <c r="G18" s="43" t="s">
        <v>139</v>
      </c>
      <c r="H18" s="43" t="s">
        <v>463</v>
      </c>
      <c r="I18" s="43">
        <v>9.3956583082329281</v>
      </c>
      <c r="J18" s="47">
        <v>2900</v>
      </c>
      <c r="K18" s="24" t="s">
        <v>443</v>
      </c>
      <c r="L18" s="24" t="s">
        <v>449</v>
      </c>
      <c r="M18" s="60"/>
      <c r="O18" s="24">
        <v>50</v>
      </c>
      <c r="S18" s="59">
        <v>0.86</v>
      </c>
      <c r="T18" s="59">
        <f t="shared" si="0"/>
        <v>3.5253256270361799</v>
      </c>
      <c r="U18" s="59">
        <v>0.86</v>
      </c>
      <c r="V18" s="59">
        <f t="shared" si="1"/>
        <v>7.0506512540723572</v>
      </c>
      <c r="W18" s="59">
        <v>0.86</v>
      </c>
      <c r="X18" s="59">
        <f t="shared" si="2"/>
        <v>9.2904853639223148</v>
      </c>
      <c r="Y18" s="59">
        <v>0.86</v>
      </c>
      <c r="Z18" s="59">
        <f t="shared" si="3"/>
        <v>18.58097072784464</v>
      </c>
    </row>
    <row r="19" spans="1:26" s="24" customFormat="1">
      <c r="A19" s="43">
        <v>6</v>
      </c>
      <c r="B19" s="43" t="s">
        <v>458</v>
      </c>
      <c r="C19" s="43">
        <v>6.4710061656236588</v>
      </c>
      <c r="D19" s="43" t="s">
        <v>473</v>
      </c>
      <c r="E19" s="43" t="s">
        <v>140</v>
      </c>
      <c r="F19" s="43">
        <v>8.0140792135844805</v>
      </c>
      <c r="G19" s="43" t="s">
        <v>141</v>
      </c>
      <c r="H19" s="43" t="s">
        <v>464</v>
      </c>
      <c r="I19" s="43">
        <v>9.3956583082329281</v>
      </c>
      <c r="J19" s="47" t="s">
        <v>474</v>
      </c>
      <c r="K19" s="24" t="s">
        <v>444</v>
      </c>
      <c r="L19" s="24" t="s">
        <v>450</v>
      </c>
      <c r="M19" s="60"/>
      <c r="S19" s="59">
        <v>0.92</v>
      </c>
      <c r="T19" s="59">
        <f t="shared" si="0"/>
        <v>3.7697619452808624</v>
      </c>
      <c r="U19" s="59">
        <v>0.92</v>
      </c>
      <c r="V19" s="59">
        <f t="shared" si="1"/>
        <v>7.5395238905617221</v>
      </c>
      <c r="W19" s="59">
        <v>0.92</v>
      </c>
      <c r="X19" s="59">
        <f t="shared" si="2"/>
        <v>9.9845954246153941</v>
      </c>
      <c r="Y19" s="59">
        <v>0.92</v>
      </c>
      <c r="Z19" s="59">
        <f t="shared" si="3"/>
        <v>19.969190849230792</v>
      </c>
    </row>
    <row r="20" spans="1:26" s="24" customFormat="1">
      <c r="M20" s="60"/>
      <c r="S20" s="59">
        <v>0.98</v>
      </c>
      <c r="T20" s="59">
        <f t="shared" si="0"/>
        <v>4.0141031358016432</v>
      </c>
      <c r="U20" s="59">
        <v>0.98</v>
      </c>
      <c r="V20" s="59">
        <f t="shared" si="1"/>
        <v>8.0282062716032829</v>
      </c>
      <c r="W20" s="59">
        <v>0.98</v>
      </c>
      <c r="X20" s="59">
        <f t="shared" si="2"/>
        <v>10.68180978018526</v>
      </c>
      <c r="Y20" s="59">
        <v>0.98</v>
      </c>
      <c r="Z20" s="59">
        <f t="shared" si="3"/>
        <v>21.363619560370513</v>
      </c>
    </row>
    <row r="21" spans="1:26" s="24" customFormat="1">
      <c r="B21" s="618" t="s">
        <v>1482</v>
      </c>
      <c r="M21" s="60"/>
      <c r="O21" s="24" t="s">
        <v>1090</v>
      </c>
      <c r="S21" s="59">
        <v>1.04</v>
      </c>
      <c r="T21" s="59">
        <f t="shared" si="0"/>
        <v>4.2583550639871834</v>
      </c>
      <c r="U21" s="59">
        <v>1.04</v>
      </c>
      <c r="V21" s="59">
        <f t="shared" si="1"/>
        <v>8.5167101279743669</v>
      </c>
      <c r="W21" s="59">
        <v>1.04</v>
      </c>
      <c r="X21" s="59">
        <f t="shared" si="2"/>
        <v>11.381950766136448</v>
      </c>
      <c r="Y21" s="59">
        <v>1.04</v>
      </c>
      <c r="Z21" s="59">
        <f t="shared" si="3"/>
        <v>22.763901532272907</v>
      </c>
    </row>
    <row r="22" spans="1:26" s="24" customFormat="1">
      <c r="B22" s="618" t="s">
        <v>572</v>
      </c>
      <c r="M22" s="60"/>
      <c r="S22" s="59">
        <v>1.1000000000000001</v>
      </c>
      <c r="T22" s="59">
        <f t="shared" si="0"/>
        <v>4.5025229153452129</v>
      </c>
      <c r="U22" s="59">
        <v>1.1000000000000001</v>
      </c>
      <c r="V22" s="59">
        <f t="shared" si="1"/>
        <v>9.0050458306904257</v>
      </c>
      <c r="W22" s="59">
        <v>1.1000000000000001</v>
      </c>
      <c r="X22" s="59">
        <f t="shared" si="2"/>
        <v>12.084860591679165</v>
      </c>
      <c r="Y22" s="59">
        <v>1.1000000000000001</v>
      </c>
      <c r="Z22" s="59">
        <f t="shared" si="3"/>
        <v>24.169721183358355</v>
      </c>
    </row>
    <row r="23" spans="1:26" s="24" customFormat="1">
      <c r="B23" s="618" t="s">
        <v>113</v>
      </c>
      <c r="M23" s="60"/>
      <c r="O23" s="24">
        <v>4</v>
      </c>
      <c r="S23" s="59">
        <v>1.1599999999999999</v>
      </c>
      <c r="T23" s="59">
        <f t="shared" si="0"/>
        <v>4.7466113072010847</v>
      </c>
      <c r="U23" s="59">
        <v>1.1599999999999999</v>
      </c>
      <c r="V23" s="59">
        <f t="shared" si="1"/>
        <v>9.4932226144021641</v>
      </c>
      <c r="W23" s="59">
        <v>1.1599999999999999</v>
      </c>
      <c r="X23" s="59">
        <f t="shared" si="2"/>
        <v>12.790398148792825</v>
      </c>
      <c r="Y23" s="59">
        <v>1.1599999999999999</v>
      </c>
      <c r="Z23" s="59">
        <f t="shared" si="3"/>
        <v>25.580796297585653</v>
      </c>
    </row>
    <row r="24" spans="1:26" s="5" customFormat="1">
      <c r="M24" s="60"/>
      <c r="S24" s="59">
        <v>1.22</v>
      </c>
      <c r="T24" s="59">
        <f t="shared" si="0"/>
        <v>4.9906243771973555</v>
      </c>
      <c r="U24" s="59">
        <v>1.22</v>
      </c>
      <c r="V24" s="59">
        <f t="shared" si="1"/>
        <v>9.9812487543947128</v>
      </c>
      <c r="W24" s="59">
        <v>1.22</v>
      </c>
      <c r="X24" s="59">
        <f t="shared" si="2"/>
        <v>13.49843647301633</v>
      </c>
      <c r="Y24" s="59">
        <v>1.22</v>
      </c>
      <c r="Z24" s="59">
        <f t="shared" si="3"/>
        <v>26.99687294603266</v>
      </c>
    </row>
    <row r="25" spans="1:26" s="5" customFormat="1">
      <c r="S25" s="59">
        <v>1.28</v>
      </c>
      <c r="T25" s="59">
        <f t="shared" si="0"/>
        <v>5.2345658543209757</v>
      </c>
      <c r="U25" s="59">
        <v>1.28</v>
      </c>
      <c r="V25" s="59">
        <f t="shared" si="1"/>
        <v>10.469131708641948</v>
      </c>
      <c r="W25" s="59">
        <v>1.28</v>
      </c>
      <c r="X25" s="59">
        <f t="shared" si="2"/>
        <v>14.208860697176943</v>
      </c>
      <c r="Y25" s="59">
        <v>1.28</v>
      </c>
      <c r="Z25" s="59">
        <f t="shared" si="3"/>
        <v>28.417721394353876</v>
      </c>
    </row>
    <row r="26" spans="1:26">
      <c r="A26" t="s">
        <v>19</v>
      </c>
      <c r="L26" s="157"/>
      <c r="M26" s="566"/>
      <c r="N26" s="157"/>
      <c r="O26" s="157"/>
      <c r="P26" s="157"/>
      <c r="Q26" s="157"/>
      <c r="S26" s="59">
        <v>1.34</v>
      </c>
      <c r="T26" s="59">
        <f t="shared" si="0"/>
        <v>5.4784391165677535</v>
      </c>
      <c r="U26" s="59">
        <v>1.34</v>
      </c>
      <c r="V26" s="59">
        <f t="shared" si="1"/>
        <v>10.956878233135502</v>
      </c>
      <c r="W26" s="59">
        <v>1.34</v>
      </c>
      <c r="X26" s="59">
        <f t="shared" si="2"/>
        <v>14.921566383627859</v>
      </c>
      <c r="Y26" s="59">
        <v>1.34</v>
      </c>
      <c r="Z26" s="59">
        <f t="shared" si="3"/>
        <v>29.843132767255717</v>
      </c>
    </row>
    <row r="27" spans="1:26">
      <c r="Q27" t="s">
        <v>550</v>
      </c>
      <c r="S27" s="59">
        <v>1.4</v>
      </c>
      <c r="T27" s="59">
        <f t="shared" si="0"/>
        <v>5.7222472382457665</v>
      </c>
      <c r="U27" s="59">
        <v>1.4</v>
      </c>
      <c r="V27" s="59">
        <f t="shared" si="1"/>
        <v>11.44449447649153</v>
      </c>
      <c r="W27" s="59">
        <v>1.4</v>
      </c>
      <c r="X27" s="59">
        <f t="shared" si="2"/>
        <v>15.636458151088982</v>
      </c>
      <c r="Y27" s="59">
        <v>1.4</v>
      </c>
      <c r="Z27" s="59">
        <f t="shared" si="3"/>
        <v>31.272916302177954</v>
      </c>
    </row>
    <row r="28" spans="1:26">
      <c r="A28" t="s">
        <v>20</v>
      </c>
      <c r="B28" t="s">
        <v>11</v>
      </c>
      <c r="D28" t="s">
        <v>8</v>
      </c>
      <c r="E28" t="s">
        <v>11</v>
      </c>
      <c r="F28" t="s">
        <v>44</v>
      </c>
      <c r="G28" t="s">
        <v>45</v>
      </c>
      <c r="H28" t="s">
        <v>46</v>
      </c>
      <c r="I28" s="5" t="s">
        <v>47</v>
      </c>
      <c r="L28" t="s">
        <v>42</v>
      </c>
      <c r="M28" s="60" t="s">
        <v>43</v>
      </c>
      <c r="N28" t="s">
        <v>0</v>
      </c>
      <c r="O28" s="5" t="s">
        <v>551</v>
      </c>
      <c r="P28" s="46" t="s">
        <v>43</v>
      </c>
      <c r="Q28" s="46" t="s">
        <v>0</v>
      </c>
      <c r="S28" s="59">
        <v>1.46</v>
      </c>
      <c r="T28" s="59">
        <f t="shared" si="0"/>
        <v>5.9659930291448893</v>
      </c>
      <c r="U28" s="59">
        <v>1.46</v>
      </c>
      <c r="V28" s="59">
        <f t="shared" si="1"/>
        <v>11.93198605828978</v>
      </c>
      <c r="W28" s="59">
        <v>1.46</v>
      </c>
      <c r="X28" s="59">
        <f t="shared" si="2"/>
        <v>16.353448533601043</v>
      </c>
      <c r="Y28" s="59">
        <v>1.46</v>
      </c>
      <c r="Z28" s="59">
        <f t="shared" si="3"/>
        <v>32.706897067202085</v>
      </c>
    </row>
    <row r="29" spans="1:26">
      <c r="A29" s="58">
        <f>'Predictive Calculator'!R30</f>
        <v>33.200000000000003</v>
      </c>
      <c r="B29" s="4">
        <f>'Predictive Calculator'!S30/A29</f>
        <v>0.80542168674698789</v>
      </c>
      <c r="D29" s="6">
        <f>IF(AND(A29&gt;=5,A29&lt;=15),100,IF(AND(A29&gt;15,A29&lt;=25),200,IF(AND(A29&gt;25,A29&lt;=35),300,IF(AND(A29&gt;35,A29&lt;=45),400,IF(AND(A29&gt;45,A29&lt;=55),500,IF(AND(A29&gt;55,A29&lt;=65),600,IF(AND(A29&gt;65,A29&lt;=75),700,IF(AND(A29&gt;75,A29&lt;=85),800,IF(A29&gt;85,900,0)))))))))</f>
        <v>300</v>
      </c>
      <c r="E29" s="6">
        <f>IF(B29&lt;=0.35,10,IF(AND(B29&gt;0.35,B29&lt;=0.55),20,IF(AND(B29&gt;0.55,B29&lt;=0.75),30,IF(AND(B29&gt;0.75,B29&lt;=0.95),40,IF(B29&gt;0.95,50,0)))))</f>
        <v>40</v>
      </c>
      <c r="F29" s="59">
        <f t="shared" ref="F29:F38" si="4">INT(SUM(D29:E29)+1)</f>
        <v>341</v>
      </c>
      <c r="G29" s="91">
        <f>INT(SUM(D29:E29)+2)</f>
        <v>342</v>
      </c>
      <c r="H29" s="4">
        <f>VLOOKUP(F29,M$29:N$73,2,FALSE)</f>
        <v>0.77200000000000002</v>
      </c>
      <c r="I29" s="32">
        <f t="shared" ref="I29:I40" si="5">VLOOKUP(G29,P$29:Q$73,2,FALSE)</f>
        <v>-0.98</v>
      </c>
      <c r="L29" t="s">
        <v>21</v>
      </c>
      <c r="M29" s="91">
        <v>111</v>
      </c>
      <c r="N29">
        <v>-0.65300000000000002</v>
      </c>
      <c r="O29" s="59" t="s">
        <v>21</v>
      </c>
      <c r="P29" s="91">
        <v>112</v>
      </c>
      <c r="Q29" s="46">
        <v>-9.8000000000000004E-2</v>
      </c>
      <c r="S29" s="59">
        <v>1.52</v>
      </c>
      <c r="T29" s="59">
        <f t="shared" si="0"/>
        <v>6.20967906724879</v>
      </c>
      <c r="U29" s="59">
        <v>1.52</v>
      </c>
      <c r="V29" s="59">
        <f t="shared" si="1"/>
        <v>12.419358134497577</v>
      </c>
      <c r="W29" s="59">
        <v>1.52</v>
      </c>
      <c r="X29" s="59">
        <f t="shared" si="2"/>
        <v>17.072457024392875</v>
      </c>
      <c r="Y29" s="59">
        <v>1.52</v>
      </c>
      <c r="Z29" s="59">
        <f t="shared" si="3"/>
        <v>34.144914048785736</v>
      </c>
    </row>
    <row r="30" spans="1:26">
      <c r="A30" s="58">
        <f>'Predictive Calculator'!R50</f>
        <v>17</v>
      </c>
      <c r="B30" s="4">
        <f>'Predictive Calculator'!S50/A30</f>
        <v>0.47058823529411764</v>
      </c>
      <c r="C30" s="5"/>
      <c r="D30" s="6">
        <f t="shared" ref="D30:D40" si="6">IF(AND(A30&gt;=5,A30&lt;=15),100,IF(AND(A30&gt;15,A30&lt;=25),200,IF(AND(A30&gt;25,A30&lt;=35),300,IF(AND(A30&gt;35,A30&lt;=45),400,IF(AND(A30&gt;45,A30&lt;=55),500,IF(AND(A30&gt;55,A30&lt;=65),600,IF(AND(A30&gt;65,A30&lt;=75),700,IF(AND(A30&gt;75,A30&lt;=85),800,IF(A30&gt;85,900,0)))))))))</f>
        <v>200</v>
      </c>
      <c r="E30" s="6">
        <f t="shared" ref="E30:E40" si="7">IF(B30&lt;=0.35,10,IF(AND(B30&gt;0.35,B30&lt;=0.55),20,IF(AND(B30&gt;0.55,B30&lt;=0.75),30,IF(AND(B30&gt;0.75,B30&lt;=0.95),40,IF(B30&gt;0.95,50,0)))))</f>
        <v>20</v>
      </c>
      <c r="F30" s="91">
        <f t="shared" si="4"/>
        <v>221</v>
      </c>
      <c r="G30" s="59">
        <f t="shared" ref="G30:G38" si="8">INT(SUM(D30:E30)+2)</f>
        <v>222</v>
      </c>
      <c r="H30" s="32">
        <f t="shared" ref="H30:H40" si="9">VLOOKUP(F30,M$29:N$73,2,FALSE)</f>
        <v>0.33</v>
      </c>
      <c r="I30" s="32">
        <f t="shared" si="5"/>
        <v>-0.85699999999999998</v>
      </c>
      <c r="L30" t="s">
        <v>30</v>
      </c>
      <c r="M30" s="91">
        <v>121</v>
      </c>
      <c r="N30" s="3">
        <v>-0.24</v>
      </c>
      <c r="O30" s="59" t="s">
        <v>30</v>
      </c>
      <c r="P30" s="91">
        <v>122</v>
      </c>
      <c r="Q30" s="3">
        <v>-0.52100000000000002</v>
      </c>
      <c r="S30" s="59">
        <v>1.58</v>
      </c>
      <c r="T30" s="59">
        <f t="shared" si="0"/>
        <v>6.4533077262674023</v>
      </c>
      <c r="U30" s="59">
        <v>1.58</v>
      </c>
      <c r="V30" s="59">
        <f t="shared" si="1"/>
        <v>12.906615452534799</v>
      </c>
      <c r="W30" s="59">
        <v>1.58</v>
      </c>
      <c r="X30" s="59">
        <f t="shared" si="2"/>
        <v>17.793409268552082</v>
      </c>
      <c r="Y30" s="59">
        <v>1.58</v>
      </c>
      <c r="Z30" s="59">
        <f t="shared" si="3"/>
        <v>35.586818537104165</v>
      </c>
    </row>
    <row r="31" spans="1:26">
      <c r="A31" s="58">
        <f>'Predictive Calculator'!R70</f>
        <v>43.6</v>
      </c>
      <c r="B31" s="4">
        <f>'Predictive Calculator'!S70/A31</f>
        <v>0.63211009174311927</v>
      </c>
      <c r="C31" s="5"/>
      <c r="D31" s="6">
        <f t="shared" si="6"/>
        <v>400</v>
      </c>
      <c r="E31" s="6">
        <f t="shared" si="7"/>
        <v>30</v>
      </c>
      <c r="F31" s="59">
        <f t="shared" si="4"/>
        <v>431</v>
      </c>
      <c r="G31" s="59">
        <f t="shared" si="8"/>
        <v>432</v>
      </c>
      <c r="H31" s="32">
        <f t="shared" si="9"/>
        <v>0.82699999999999996</v>
      </c>
      <c r="I31" s="32">
        <f t="shared" si="5"/>
        <v>-1.087</v>
      </c>
      <c r="L31" t="s">
        <v>39</v>
      </c>
      <c r="M31" s="91">
        <v>131</v>
      </c>
      <c r="N31" s="3">
        <v>-0.124</v>
      </c>
      <c r="O31" s="59" t="s">
        <v>39</v>
      </c>
      <c r="P31" s="91">
        <v>132</v>
      </c>
      <c r="Q31" s="3">
        <v>-0.56200000000000006</v>
      </c>
      <c r="S31" s="59">
        <v>1.64</v>
      </c>
      <c r="T31" s="59">
        <f t="shared" si="0"/>
        <v>6.6968811989760795</v>
      </c>
      <c r="U31" s="59">
        <v>1.64</v>
      </c>
      <c r="V31" s="59">
        <f t="shared" si="1"/>
        <v>13.393762397952163</v>
      </c>
      <c r="W31" s="59">
        <v>1.64</v>
      </c>
      <c r="X31" s="59">
        <f t="shared" si="2"/>
        <v>18.51623637654966</v>
      </c>
      <c r="Y31" s="59">
        <v>1.64</v>
      </c>
      <c r="Z31" s="59">
        <f t="shared" si="3"/>
        <v>37.032472753099313</v>
      </c>
    </row>
    <row r="32" spans="1:26">
      <c r="A32" s="4">
        <f>'Predictive Calculator'!D24</f>
        <v>31</v>
      </c>
      <c r="B32" s="4">
        <f>'Predictive Calculator'!E24/A32</f>
        <v>1.1129032258064515</v>
      </c>
      <c r="C32" s="5"/>
      <c r="D32" s="6">
        <f t="shared" si="6"/>
        <v>300</v>
      </c>
      <c r="E32" s="6">
        <f t="shared" si="7"/>
        <v>50</v>
      </c>
      <c r="F32" s="59">
        <f t="shared" si="4"/>
        <v>351</v>
      </c>
      <c r="G32" s="59">
        <f t="shared" si="8"/>
        <v>352</v>
      </c>
      <c r="H32" s="32">
        <f t="shared" si="9"/>
        <v>0.45700000000000002</v>
      </c>
      <c r="I32" s="32">
        <f t="shared" si="5"/>
        <v>-0.75</v>
      </c>
      <c r="L32" t="s">
        <v>40</v>
      </c>
      <c r="M32" s="91">
        <v>141</v>
      </c>
      <c r="N32" s="3">
        <v>-0.115</v>
      </c>
      <c r="O32" s="59" t="s">
        <v>40</v>
      </c>
      <c r="P32" s="91">
        <v>142</v>
      </c>
      <c r="Q32" s="46">
        <v>-0.50600000000000001</v>
      </c>
      <c r="S32" s="59">
        <v>1.7</v>
      </c>
      <c r="T32" s="59">
        <f t="shared" si="0"/>
        <v>6.9404015171304012</v>
      </c>
      <c r="U32" s="59">
        <v>1.7</v>
      </c>
      <c r="V32" s="59">
        <f t="shared" si="1"/>
        <v>13.880803034260788</v>
      </c>
      <c r="W32" s="59">
        <v>1.7</v>
      </c>
      <c r="X32" s="59">
        <f t="shared" si="2"/>
        <v>19.240874336752857</v>
      </c>
      <c r="Y32" s="59">
        <v>1.7</v>
      </c>
      <c r="Z32" s="59">
        <f t="shared" si="3"/>
        <v>38.481748673505699</v>
      </c>
    </row>
    <row r="33" spans="1:26">
      <c r="A33" s="4">
        <f>'Predictive Calculator'!D25</f>
        <v>30</v>
      </c>
      <c r="B33" s="4">
        <f>'Predictive Calculator'!E25/A33</f>
        <v>1.2466666666666666</v>
      </c>
      <c r="C33" s="5"/>
      <c r="D33" s="6">
        <f t="shared" si="6"/>
        <v>300</v>
      </c>
      <c r="E33" s="6">
        <f t="shared" si="7"/>
        <v>50</v>
      </c>
      <c r="F33" s="59">
        <f t="shared" si="4"/>
        <v>351</v>
      </c>
      <c r="G33" s="59">
        <f t="shared" si="8"/>
        <v>352</v>
      </c>
      <c r="H33" s="32">
        <f t="shared" si="9"/>
        <v>0.45700000000000002</v>
      </c>
      <c r="I33" s="32">
        <f t="shared" si="5"/>
        <v>-0.75</v>
      </c>
      <c r="L33" t="s">
        <v>41</v>
      </c>
      <c r="M33" s="91">
        <v>151</v>
      </c>
      <c r="N33">
        <v>-0.55900000000000005</v>
      </c>
      <c r="O33" s="59" t="s">
        <v>41</v>
      </c>
      <c r="P33" s="91">
        <v>152</v>
      </c>
      <c r="Q33" s="46">
        <v>-6.7000000000000004E-2</v>
      </c>
      <c r="S33" s="59">
        <v>1.76</v>
      </c>
      <c r="T33" s="59">
        <f t="shared" si="0"/>
        <v>7.1838705685624058</v>
      </c>
      <c r="U33" s="59">
        <v>1.76</v>
      </c>
      <c r="V33" s="59">
        <f t="shared" si="1"/>
        <v>14.367741137124799</v>
      </c>
      <c r="W33" s="59">
        <v>1.76</v>
      </c>
      <c r="X33" s="59">
        <f t="shared" si="2"/>
        <v>19.967263509651573</v>
      </c>
      <c r="Y33" s="59">
        <v>1.76</v>
      </c>
      <c r="Z33" s="59">
        <f t="shared" si="3"/>
        <v>39.934527019303147</v>
      </c>
    </row>
    <row r="34" spans="1:26">
      <c r="A34" s="4">
        <f>'Predictive Calculator'!D26</f>
        <v>24</v>
      </c>
      <c r="B34" s="4">
        <f>'Predictive Calculator'!E26/A34</f>
        <v>1.3125</v>
      </c>
      <c r="C34" s="5"/>
      <c r="D34" s="6">
        <f t="shared" si="6"/>
        <v>200</v>
      </c>
      <c r="E34" s="6">
        <f t="shared" si="7"/>
        <v>50</v>
      </c>
      <c r="F34" s="59">
        <f t="shared" si="4"/>
        <v>251</v>
      </c>
      <c r="G34" s="59">
        <f t="shared" si="8"/>
        <v>252</v>
      </c>
      <c r="H34" s="32">
        <f t="shared" si="9"/>
        <v>0.29499999999999998</v>
      </c>
      <c r="I34" s="32">
        <f t="shared" si="5"/>
        <v>-0.67100000000000004</v>
      </c>
      <c r="L34" t="s">
        <v>22</v>
      </c>
      <c r="M34" s="91">
        <v>211</v>
      </c>
      <c r="N34">
        <v>-1.0999999999999999E-2</v>
      </c>
      <c r="O34" s="59" t="s">
        <v>22</v>
      </c>
      <c r="P34" s="91">
        <v>212</v>
      </c>
      <c r="Q34" s="46">
        <v>-0.59299999999999997</v>
      </c>
      <c r="S34" s="59">
        <v>1.82</v>
      </c>
      <c r="T34" s="59">
        <f t="shared" si="0"/>
        <v>7.4272901119398718</v>
      </c>
      <c r="U34" s="59">
        <v>1.82</v>
      </c>
      <c r="V34" s="59">
        <f t="shared" si="1"/>
        <v>14.854580223879738</v>
      </c>
      <c r="W34" s="59">
        <v>1.82</v>
      </c>
      <c r="X34" s="59">
        <f t="shared" si="2"/>
        <v>20.69534819002655</v>
      </c>
      <c r="Y34" s="59">
        <v>1.82</v>
      </c>
      <c r="Z34" s="59">
        <f t="shared" si="3"/>
        <v>41.3906963800531</v>
      </c>
    </row>
    <row r="35" spans="1:26">
      <c r="A35" s="4">
        <f>'Predictive Calculator'!D27</f>
        <v>0</v>
      </c>
      <c r="B35" s="4" t="e">
        <f>'Predictive Calculator'!E27/A35</f>
        <v>#DIV/0!</v>
      </c>
      <c r="C35" s="5"/>
      <c r="D35" s="6">
        <f t="shared" si="6"/>
        <v>0</v>
      </c>
      <c r="E35" s="6" t="e">
        <f t="shared" si="7"/>
        <v>#DIV/0!</v>
      </c>
      <c r="F35" s="59" t="e">
        <f t="shared" si="4"/>
        <v>#DIV/0!</v>
      </c>
      <c r="G35" s="59" t="e">
        <f t="shared" si="8"/>
        <v>#DIV/0!</v>
      </c>
      <c r="H35" s="32" t="e">
        <f t="shared" si="9"/>
        <v>#DIV/0!</v>
      </c>
      <c r="I35" s="32" t="e">
        <f t="shared" si="5"/>
        <v>#DIV/0!</v>
      </c>
      <c r="L35" t="s">
        <v>31</v>
      </c>
      <c r="M35" s="91">
        <v>221</v>
      </c>
      <c r="N35" s="3">
        <v>0.33</v>
      </c>
      <c r="O35" s="59" t="s">
        <v>31</v>
      </c>
      <c r="P35" s="91">
        <v>222</v>
      </c>
      <c r="Q35" s="3">
        <v>-0.85699999999999998</v>
      </c>
      <c r="S35" s="59">
        <v>1.88</v>
      </c>
      <c r="T35" s="59">
        <f t="shared" si="0"/>
        <v>7.6706617895747211</v>
      </c>
      <c r="U35" s="59">
        <v>1.88</v>
      </c>
      <c r="V35" s="59">
        <f t="shared" si="1"/>
        <v>15.341323579149423</v>
      </c>
      <c r="W35" s="59">
        <v>1.88</v>
      </c>
      <c r="X35" s="59">
        <f t="shared" si="2"/>
        <v>21.425076225986988</v>
      </c>
      <c r="Y35" s="59">
        <v>1.88</v>
      </c>
      <c r="Z35" s="59">
        <f t="shared" si="3"/>
        <v>42.850152451973955</v>
      </c>
    </row>
    <row r="36" spans="1:26">
      <c r="A36" s="4">
        <f>'Predictive Calculator'!D28</f>
        <v>0</v>
      </c>
      <c r="B36" s="4" t="e">
        <f>'Predictive Calculator'!E28/A36</f>
        <v>#DIV/0!</v>
      </c>
      <c r="C36" s="5"/>
      <c r="D36" s="6">
        <f t="shared" si="6"/>
        <v>0</v>
      </c>
      <c r="E36" s="6" t="e">
        <f t="shared" si="7"/>
        <v>#DIV/0!</v>
      </c>
      <c r="F36" s="59" t="e">
        <f t="shared" si="4"/>
        <v>#DIV/0!</v>
      </c>
      <c r="G36" s="59" t="e">
        <f t="shared" si="8"/>
        <v>#DIV/0!</v>
      </c>
      <c r="H36" s="32" t="e">
        <f t="shared" si="9"/>
        <v>#DIV/0!</v>
      </c>
      <c r="I36" s="32" t="e">
        <f t="shared" si="5"/>
        <v>#DIV/0!</v>
      </c>
      <c r="L36" t="s">
        <v>31</v>
      </c>
      <c r="M36" s="91">
        <v>231</v>
      </c>
      <c r="N36" s="3">
        <v>0.44</v>
      </c>
      <c r="O36" s="59" t="s">
        <v>31</v>
      </c>
      <c r="P36" s="91">
        <v>232</v>
      </c>
      <c r="Q36" s="3">
        <v>-0.93400000000000005</v>
      </c>
      <c r="S36" s="59">
        <v>1.94</v>
      </c>
      <c r="T36" s="59">
        <f t="shared" si="0"/>
        <v>7.9139871385924998</v>
      </c>
      <c r="U36" s="59">
        <v>1.94</v>
      </c>
      <c r="V36" s="59">
        <f t="shared" si="1"/>
        <v>15.827974277184993</v>
      </c>
      <c r="W36" s="59">
        <v>1.94</v>
      </c>
      <c r="X36" s="59">
        <f t="shared" si="2"/>
        <v>22.156398685907106</v>
      </c>
      <c r="Y36" s="59">
        <v>1.94</v>
      </c>
      <c r="Z36" s="59">
        <f t="shared" si="3"/>
        <v>44.312797371814192</v>
      </c>
    </row>
    <row r="37" spans="1:26">
      <c r="A37" s="4">
        <f>'Predictive Calculator'!D29</f>
        <v>0</v>
      </c>
      <c r="B37" s="4" t="e">
        <f>'Predictive Calculator'!E29/A37</f>
        <v>#DIV/0!</v>
      </c>
      <c r="C37" s="5"/>
      <c r="D37" s="6">
        <f t="shared" si="6"/>
        <v>0</v>
      </c>
      <c r="E37" s="6" t="e">
        <f t="shared" si="7"/>
        <v>#DIV/0!</v>
      </c>
      <c r="F37" s="59" t="e">
        <f t="shared" si="4"/>
        <v>#DIV/0!</v>
      </c>
      <c r="G37" s="59" t="e">
        <f t="shared" si="8"/>
        <v>#DIV/0!</v>
      </c>
      <c r="H37" s="32" t="e">
        <f t="shared" si="9"/>
        <v>#DIV/0!</v>
      </c>
      <c r="I37" s="32" t="e">
        <f t="shared" si="5"/>
        <v>#DIV/0!</v>
      </c>
      <c r="L37" t="s">
        <v>31</v>
      </c>
      <c r="M37" s="91">
        <v>241</v>
      </c>
      <c r="N37" s="3">
        <v>0.47899999999999998</v>
      </c>
      <c r="O37" s="59" t="s">
        <v>31</v>
      </c>
      <c r="P37" s="91">
        <v>242</v>
      </c>
      <c r="Q37" s="46">
        <v>-1.1950000000000001</v>
      </c>
      <c r="S37" s="59">
        <v>2</v>
      </c>
      <c r="T37" s="59">
        <f t="shared" si="0"/>
        <v>8.1572676007170042</v>
      </c>
      <c r="U37" s="59">
        <v>2</v>
      </c>
      <c r="V37" s="59">
        <f t="shared" si="1"/>
        <v>16.314535201434005</v>
      </c>
      <c r="W37" s="59">
        <v>2</v>
      </c>
      <c r="X37" s="59">
        <f t="shared" si="2"/>
        <v>22.889269565940243</v>
      </c>
      <c r="Y37" s="59">
        <v>2</v>
      </c>
      <c r="Z37" s="59">
        <f t="shared" si="3"/>
        <v>45.778539131880493</v>
      </c>
    </row>
    <row r="38" spans="1:26">
      <c r="A38" s="32">
        <v>59</v>
      </c>
      <c r="B38" s="32">
        <v>0.74</v>
      </c>
      <c r="C38" s="5"/>
      <c r="D38" s="6">
        <f t="shared" si="6"/>
        <v>600</v>
      </c>
      <c r="E38" s="6">
        <f t="shared" si="7"/>
        <v>30</v>
      </c>
      <c r="F38" s="59">
        <f t="shared" si="4"/>
        <v>631</v>
      </c>
      <c r="G38" s="59">
        <f t="shared" si="8"/>
        <v>632</v>
      </c>
      <c r="H38" s="32">
        <f t="shared" si="9"/>
        <v>0.87</v>
      </c>
      <c r="I38" s="58">
        <f t="shared" si="5"/>
        <v>-1.006</v>
      </c>
      <c r="L38" t="s">
        <v>31</v>
      </c>
      <c r="M38" s="91">
        <v>251</v>
      </c>
      <c r="N38" s="46">
        <v>0.29499999999999998</v>
      </c>
      <c r="O38" s="59" t="s">
        <v>31</v>
      </c>
      <c r="P38" s="91">
        <v>252</v>
      </c>
      <c r="Q38" s="46">
        <v>-0.67100000000000004</v>
      </c>
      <c r="S38" s="59">
        <v>2.06</v>
      </c>
      <c r="T38" s="59">
        <f t="shared" si="0"/>
        <v>8.4005045308781572</v>
      </c>
      <c r="U38" s="59">
        <v>2.06</v>
      </c>
      <c r="V38" s="59">
        <f t="shared" si="1"/>
        <v>16.801009061756307</v>
      </c>
      <c r="W38" s="59">
        <v>2.06</v>
      </c>
      <c r="X38" s="59">
        <f t="shared" si="2"/>
        <v>23.623645532094919</v>
      </c>
      <c r="Y38" s="59">
        <v>2.06</v>
      </c>
      <c r="Z38" s="59">
        <f t="shared" si="3"/>
        <v>47.247291064189817</v>
      </c>
    </row>
    <row r="39" spans="1:26">
      <c r="A39" s="4">
        <f>'Predictive Calculator'!G31</f>
        <v>0</v>
      </c>
      <c r="B39" s="4" t="e">
        <f>'Predictive Calculator'!L54/A39</f>
        <v>#DIV/0!</v>
      </c>
      <c r="C39" s="5"/>
      <c r="D39" s="6">
        <f t="shared" si="6"/>
        <v>0</v>
      </c>
      <c r="E39" s="6" t="e">
        <f t="shared" si="7"/>
        <v>#DIV/0!</v>
      </c>
      <c r="F39" s="59" t="e">
        <f>SUM(D39:E39)+1</f>
        <v>#DIV/0!</v>
      </c>
      <c r="G39" s="59" t="e">
        <f>SUM(D39:E39)+2</f>
        <v>#DIV/0!</v>
      </c>
      <c r="H39" s="32" t="e">
        <f t="shared" si="9"/>
        <v>#DIV/0!</v>
      </c>
      <c r="I39" s="32" t="e">
        <f t="shared" si="5"/>
        <v>#DIV/0!</v>
      </c>
      <c r="L39" t="s">
        <v>23</v>
      </c>
      <c r="M39" s="91">
        <v>311</v>
      </c>
      <c r="N39" s="46">
        <v>0.14699999999999999</v>
      </c>
      <c r="O39" s="59" t="s">
        <v>23</v>
      </c>
      <c r="P39" s="91">
        <v>312</v>
      </c>
      <c r="Q39" s="46">
        <v>-0.67200000000000004</v>
      </c>
      <c r="S39" s="59">
        <v>2.12</v>
      </c>
      <c r="T39" s="59">
        <f t="shared" si="0"/>
        <v>8.6436992048148156</v>
      </c>
      <c r="U39" s="59">
        <v>2.12</v>
      </c>
      <c r="V39" s="59">
        <f t="shared" si="1"/>
        <v>17.287398409629617</v>
      </c>
      <c r="W39" s="59">
        <v>2.12</v>
      </c>
      <c r="X39" s="59">
        <f t="shared" si="2"/>
        <v>24.359485691898765</v>
      </c>
      <c r="Y39" s="59">
        <v>2.12</v>
      </c>
      <c r="Z39" s="59">
        <f t="shared" si="3"/>
        <v>48.718971383797516</v>
      </c>
    </row>
    <row r="40" spans="1:26">
      <c r="A40" s="32">
        <f>'Predictive Calculator'!G32</f>
        <v>0</v>
      </c>
      <c r="B40" s="32" t="e">
        <f>'Predictive Calculator'!#REF!/A40</f>
        <v>#REF!</v>
      </c>
      <c r="C40" s="5"/>
      <c r="D40" s="6">
        <f t="shared" si="6"/>
        <v>0</v>
      </c>
      <c r="E40" s="6" t="e">
        <f t="shared" si="7"/>
        <v>#REF!</v>
      </c>
      <c r="F40" s="59" t="e">
        <f>SUM(D40:E40)+1</f>
        <v>#REF!</v>
      </c>
      <c r="G40" s="59" t="e">
        <f>SUM(D40:E40)+2</f>
        <v>#REF!</v>
      </c>
      <c r="H40" s="32" t="e">
        <f t="shared" si="9"/>
        <v>#REF!</v>
      </c>
      <c r="I40" s="32" t="e">
        <f t="shared" si="5"/>
        <v>#REF!</v>
      </c>
      <c r="L40" t="s">
        <v>32</v>
      </c>
      <c r="M40" s="91">
        <v>321</v>
      </c>
      <c r="N40" s="3">
        <v>0.41099999999999998</v>
      </c>
      <c r="O40" s="59" t="s">
        <v>32</v>
      </c>
      <c r="P40" s="91">
        <v>322</v>
      </c>
      <c r="Q40" s="3">
        <v>-0.93600000000000005</v>
      </c>
      <c r="S40" s="59">
        <v>2.1800000000000002</v>
      </c>
      <c r="T40" s="59">
        <f t="shared" si="0"/>
        <v>8.8868528258151294</v>
      </c>
      <c r="U40" s="59">
        <v>2.1800000000000002</v>
      </c>
      <c r="V40" s="59">
        <f t="shared" si="1"/>
        <v>17.773705651630245</v>
      </c>
      <c r="W40" s="59">
        <v>2.1800000000000002</v>
      </c>
      <c r="X40" s="59">
        <f t="shared" si="2"/>
        <v>25.09675139151307</v>
      </c>
      <c r="Y40" s="59">
        <v>2.1800000000000002</v>
      </c>
      <c r="Z40" s="59">
        <f t="shared" si="3"/>
        <v>50.193502783026126</v>
      </c>
    </row>
    <row r="41" spans="1:26">
      <c r="A41" s="4"/>
      <c r="B41" s="4"/>
      <c r="C41" s="5"/>
      <c r="D41" s="6"/>
      <c r="E41" s="6"/>
      <c r="F41" s="5"/>
      <c r="G41" s="5"/>
      <c r="H41" s="32"/>
      <c r="I41" s="32"/>
      <c r="J41" s="59"/>
      <c r="L41" t="s">
        <v>32</v>
      </c>
      <c r="M41" s="91">
        <v>331</v>
      </c>
      <c r="N41" s="3">
        <v>0.63300000000000001</v>
      </c>
      <c r="O41" s="59" t="s">
        <v>32</v>
      </c>
      <c r="P41" s="91">
        <v>332</v>
      </c>
      <c r="Q41" s="3">
        <v>-1.032</v>
      </c>
      <c r="S41" s="59">
        <v>2.2400000000000002</v>
      </c>
      <c r="T41" s="59">
        <f t="shared" si="0"/>
        <v>9.1299665307132525</v>
      </c>
      <c r="U41" s="59">
        <v>2.2400000000000002</v>
      </c>
      <c r="V41" s="59">
        <f t="shared" si="1"/>
        <v>18.259933061426498</v>
      </c>
      <c r="W41" s="59">
        <v>2.2400000000000002</v>
      </c>
      <c r="X41" s="59">
        <f t="shared" si="2"/>
        <v>25.835406034837089</v>
      </c>
      <c r="Y41" s="59">
        <v>2.2400000000000002</v>
      </c>
      <c r="Z41" s="59">
        <f t="shared" si="3"/>
        <v>51.670812069674184</v>
      </c>
    </row>
    <row r="42" spans="1:26">
      <c r="A42" s="4" t="s">
        <v>600</v>
      </c>
      <c r="B42" s="4"/>
      <c r="C42" s="5"/>
      <c r="D42" s="6"/>
      <c r="E42" s="6"/>
      <c r="F42" s="5"/>
      <c r="G42" s="5"/>
      <c r="H42" s="32"/>
      <c r="I42" s="32"/>
      <c r="J42" s="59"/>
      <c r="L42" t="s">
        <v>32</v>
      </c>
      <c r="M42" s="91">
        <v>341</v>
      </c>
      <c r="N42" s="3">
        <v>0.77200000000000002</v>
      </c>
      <c r="O42" s="59" t="s">
        <v>32</v>
      </c>
      <c r="P42" s="91">
        <v>342</v>
      </c>
      <c r="Q42" s="46">
        <v>-0.98</v>
      </c>
      <c r="S42" s="59">
        <v>2.2999999999999998</v>
      </c>
      <c r="T42" s="59">
        <f t="shared" si="0"/>
        <v>9.3730413952422644</v>
      </c>
      <c r="U42" s="59">
        <v>2.2999999999999998</v>
      </c>
      <c r="V42" s="59">
        <f t="shared" si="1"/>
        <v>18.746082790484515</v>
      </c>
      <c r="W42" s="59">
        <v>2.2999999999999998</v>
      </c>
      <c r="X42" s="59">
        <f t="shared" si="2"/>
        <v>26.575414921692722</v>
      </c>
      <c r="Y42" s="59">
        <v>2.2999999999999998</v>
      </c>
      <c r="Z42" s="59">
        <f t="shared" si="3"/>
        <v>53.150829843385424</v>
      </c>
    </row>
    <row r="43" spans="1:26">
      <c r="A43" s="59" t="s">
        <v>2</v>
      </c>
      <c r="B43" s="59" t="s">
        <v>3</v>
      </c>
      <c r="C43" s="5"/>
      <c r="D43" s="6"/>
      <c r="E43" s="6"/>
      <c r="F43" s="5"/>
      <c r="G43" s="68"/>
      <c r="H43" s="32" t="s">
        <v>601</v>
      </c>
      <c r="I43" s="32"/>
      <c r="L43" t="s">
        <v>32</v>
      </c>
      <c r="M43" s="91">
        <v>351</v>
      </c>
      <c r="N43" s="46">
        <v>0.45700000000000002</v>
      </c>
      <c r="O43" s="59" t="s">
        <v>32</v>
      </c>
      <c r="P43" s="91">
        <v>352</v>
      </c>
      <c r="Q43" s="46">
        <v>-0.75</v>
      </c>
      <c r="S43" s="59">
        <v>2.36</v>
      </c>
      <c r="T43" s="59">
        <f t="shared" si="0"/>
        <v>9.6160784388273779</v>
      </c>
      <c r="U43" s="59">
        <v>2.36</v>
      </c>
      <c r="V43" s="59">
        <f t="shared" si="1"/>
        <v>19.232156877654731</v>
      </c>
      <c r="W43" s="59">
        <v>2.36</v>
      </c>
      <c r="X43" s="59">
        <f t="shared" si="2"/>
        <v>27.316745102630357</v>
      </c>
      <c r="Y43" s="59">
        <v>2.36</v>
      </c>
      <c r="Z43" s="59">
        <f t="shared" si="3"/>
        <v>54.633490205260692</v>
      </c>
    </row>
    <row r="44" spans="1:26">
      <c r="A44" s="59">
        <f>'Predictive Calculator'!AS10</f>
        <v>0.77200000000000002</v>
      </c>
      <c r="B44" s="59">
        <f>'Predictive Calculator'!AT10</f>
        <v>-0.98</v>
      </c>
      <c r="C44">
        <f>'Predictive Calculator'!AS11</f>
        <v>0.33</v>
      </c>
      <c r="D44">
        <f>'Predictive Calculator'!AT11</f>
        <v>-0.85699999999999998</v>
      </c>
      <c r="E44">
        <f>'Predictive Calculator'!AS12</f>
        <v>0.82699999999999996</v>
      </c>
      <c r="F44">
        <f>'Predictive Calculator'!AT12</f>
        <v>-1.087</v>
      </c>
      <c r="G44" s="5"/>
      <c r="H44" s="32"/>
      <c r="I44" s="1330" t="s">
        <v>165</v>
      </c>
      <c r="J44" s="1330" t="s">
        <v>166</v>
      </c>
      <c r="L44" t="s">
        <v>24</v>
      </c>
      <c r="M44" s="91">
        <v>411</v>
      </c>
      <c r="N44" s="46">
        <v>0.438</v>
      </c>
      <c r="O44" s="59" t="s">
        <v>24</v>
      </c>
      <c r="P44" s="91">
        <v>412</v>
      </c>
      <c r="Q44" s="46">
        <v>-1.036</v>
      </c>
      <c r="S44" s="59">
        <v>2.42</v>
      </c>
      <c r="T44" s="59">
        <f t="shared" si="0"/>
        <v>9.8590786288907371</v>
      </c>
      <c r="U44" s="59">
        <v>2.42</v>
      </c>
      <c r="V44" s="59">
        <f t="shared" si="1"/>
        <v>19.718157257781467</v>
      </c>
      <c r="W44" s="59">
        <v>2.42</v>
      </c>
      <c r="X44" s="59">
        <f t="shared" si="2"/>
        <v>28.059365248269117</v>
      </c>
      <c r="Y44" s="59">
        <v>2.42</v>
      </c>
      <c r="Z44" s="59">
        <f t="shared" si="3"/>
        <v>56.118730496538234</v>
      </c>
    </row>
    <row r="45" spans="1:26">
      <c r="A45" s="59" t="s">
        <v>477</v>
      </c>
      <c r="B45" s="59"/>
      <c r="C45" t="s">
        <v>503</v>
      </c>
      <c r="E45" t="s">
        <v>504</v>
      </c>
      <c r="H45" s="163"/>
      <c r="I45" s="1330"/>
      <c r="J45" s="1330"/>
      <c r="L45" t="s">
        <v>33</v>
      </c>
      <c r="M45" s="91">
        <v>421</v>
      </c>
      <c r="N45" s="3">
        <v>0.70599999999999996</v>
      </c>
      <c r="O45" s="59" t="s">
        <v>33</v>
      </c>
      <c r="P45" s="91">
        <v>422</v>
      </c>
      <c r="Q45" s="3">
        <v>-1.141</v>
      </c>
      <c r="S45" s="59">
        <v>2.48</v>
      </c>
      <c r="T45" s="59">
        <f t="shared" si="0"/>
        <v>10.102042884728512</v>
      </c>
      <c r="U45" s="59">
        <v>2.48</v>
      </c>
      <c r="V45" s="59">
        <f t="shared" si="1"/>
        <v>20.204085769457006</v>
      </c>
      <c r="W45" s="59">
        <v>2.48</v>
      </c>
      <c r="X45" s="59">
        <f t="shared" si="2"/>
        <v>28.803245531391294</v>
      </c>
      <c r="Y45" s="59">
        <v>2.48</v>
      </c>
      <c r="Z45" s="59">
        <f t="shared" si="3"/>
        <v>57.606491062782595</v>
      </c>
    </row>
    <row r="46" spans="1:26">
      <c r="A46" s="59" t="s">
        <v>470</v>
      </c>
      <c r="B46" s="59" t="s">
        <v>59</v>
      </c>
      <c r="C46" s="59" t="s">
        <v>470</v>
      </c>
      <c r="D46" s="59" t="s">
        <v>59</v>
      </c>
      <c r="E46" s="59" t="s">
        <v>470</v>
      </c>
      <c r="F46" s="59" t="s">
        <v>59</v>
      </c>
      <c r="H46" s="62" t="s">
        <v>163</v>
      </c>
      <c r="I46" s="1330"/>
      <c r="J46" s="1330"/>
      <c r="K46"/>
      <c r="L46" t="s">
        <v>33</v>
      </c>
      <c r="M46" s="91">
        <v>431</v>
      </c>
      <c r="N46" s="3">
        <v>0.82699999999999996</v>
      </c>
      <c r="O46" s="59" t="s">
        <v>33</v>
      </c>
      <c r="P46" s="91">
        <v>432</v>
      </c>
      <c r="Q46" s="3">
        <v>-1.087</v>
      </c>
      <c r="S46" s="59">
        <v>2.54</v>
      </c>
      <c r="T46" s="59">
        <f t="shared" si="0"/>
        <v>10.344972081011969</v>
      </c>
      <c r="U46" s="59">
        <v>2.54</v>
      </c>
      <c r="V46" s="59">
        <f t="shared" si="1"/>
        <v>20.68994416202391</v>
      </c>
      <c r="W46" s="59">
        <v>2.54</v>
      </c>
      <c r="X46" s="59">
        <f t="shared" si="2"/>
        <v>29.548357520267203</v>
      </c>
      <c r="Y46" s="59">
        <v>2.54</v>
      </c>
      <c r="Z46" s="59">
        <f t="shared" si="3"/>
        <v>59.096715040534384</v>
      </c>
    </row>
    <row r="47" spans="1:26" ht="23">
      <c r="A47" s="59">
        <v>0.01</v>
      </c>
      <c r="B47" s="59">
        <f t="shared" ref="B47:B78" si="10">10^(B$44^-1*(A$44+LOG((0.03*2000)^B$44/A47)))</f>
        <v>8.9038907338053919E-2</v>
      </c>
      <c r="C47" s="59">
        <v>0.01</v>
      </c>
      <c r="D47" s="59">
        <f t="shared" ref="D47:D78" si="11">10^(D$44^-1*(C$44+LOG((0.03*2000)^D$44/C47)))</f>
        <v>0.11464755200949552</v>
      </c>
      <c r="E47" s="59">
        <v>0.01</v>
      </c>
      <c r="F47" s="59">
        <f t="shared" ref="F47:F78" si="12">10^(F$44^-1*(E$44+LOG((0.03*2000)^F$44/E47)))</f>
        <v>0.15045799836036794</v>
      </c>
      <c r="H47" s="62" t="s">
        <v>553</v>
      </c>
      <c r="I47" s="40" t="s">
        <v>1</v>
      </c>
      <c r="J47" s="40" t="s">
        <v>1</v>
      </c>
      <c r="L47" t="s">
        <v>33</v>
      </c>
      <c r="M47" s="91">
        <v>441</v>
      </c>
      <c r="N47" s="3">
        <v>0.83099999999999996</v>
      </c>
      <c r="O47" s="59" t="s">
        <v>33</v>
      </c>
      <c r="P47" s="91">
        <v>442</v>
      </c>
      <c r="Q47" s="46">
        <v>-0.96199999999999997</v>
      </c>
      <c r="S47" s="59">
        <v>2.6</v>
      </c>
      <c r="T47" s="59">
        <f t="shared" si="0"/>
        <v>10.587867050957158</v>
      </c>
      <c r="U47" s="59">
        <v>2.6</v>
      </c>
      <c r="V47" s="59">
        <f t="shared" si="1"/>
        <v>21.175734101914301</v>
      </c>
      <c r="W47" s="59">
        <v>2.6</v>
      </c>
      <c r="X47" s="59">
        <f t="shared" si="2"/>
        <v>30.294674081900126</v>
      </c>
      <c r="Y47" s="59">
        <v>2.6</v>
      </c>
      <c r="Z47" s="59">
        <f t="shared" si="3"/>
        <v>60.589348163800231</v>
      </c>
    </row>
    <row r="48" spans="1:26">
      <c r="A48" s="59">
        <v>0.04</v>
      </c>
      <c r="B48" s="59">
        <f t="shared" si="10"/>
        <v>0.36637577636818258</v>
      </c>
      <c r="C48" s="59">
        <v>0.04</v>
      </c>
      <c r="D48" s="59">
        <f t="shared" si="11"/>
        <v>0.57794325013532044</v>
      </c>
      <c r="E48" s="59">
        <v>0.04</v>
      </c>
      <c r="F48" s="59">
        <f t="shared" si="12"/>
        <v>0.53862724460533928</v>
      </c>
      <c r="H48" s="44" t="s">
        <v>263</v>
      </c>
      <c r="I48" s="57">
        <v>2</v>
      </c>
      <c r="J48" s="57" t="s">
        <v>1</v>
      </c>
      <c r="K48"/>
      <c r="L48" s="5" t="s">
        <v>33</v>
      </c>
      <c r="M48" s="91">
        <v>451</v>
      </c>
      <c r="N48" s="46">
        <v>0.66300000000000003</v>
      </c>
      <c r="O48" s="59" t="s">
        <v>33</v>
      </c>
      <c r="P48" s="91">
        <v>452</v>
      </c>
      <c r="Q48" s="46">
        <v>-0.89700000000000002</v>
      </c>
      <c r="S48" s="59">
        <v>2.66</v>
      </c>
      <c r="T48" s="59">
        <f t="shared" si="0"/>
        <v>10.830728589201504</v>
      </c>
      <c r="U48" s="59">
        <v>2.66</v>
      </c>
      <c r="V48" s="59">
        <f t="shared" si="1"/>
        <v>21.661457178402991</v>
      </c>
      <c r="W48" s="59">
        <v>2.66</v>
      </c>
      <c r="X48" s="59">
        <f t="shared" si="2"/>
        <v>31.042169294061015</v>
      </c>
      <c r="Y48" s="59">
        <v>2.66</v>
      </c>
      <c r="Z48" s="59">
        <f t="shared" si="3"/>
        <v>62.08433858812198</v>
      </c>
    </row>
    <row r="49" spans="1:26">
      <c r="A49" s="59">
        <v>0.08</v>
      </c>
      <c r="B49" s="59">
        <f t="shared" si="10"/>
        <v>0.74319061490755745</v>
      </c>
      <c r="C49" s="59">
        <v>0.08</v>
      </c>
      <c r="D49" s="59">
        <f t="shared" si="11"/>
        <v>1.2976136366442879</v>
      </c>
      <c r="E49" s="59">
        <v>0.08</v>
      </c>
      <c r="F49" s="59">
        <f t="shared" si="12"/>
        <v>1.0191188521990828</v>
      </c>
      <c r="H49" s="44" t="s">
        <v>265</v>
      </c>
      <c r="I49" s="57">
        <v>1</v>
      </c>
      <c r="J49" s="57" t="s">
        <v>1</v>
      </c>
      <c r="K49"/>
      <c r="L49" s="5" t="s">
        <v>25</v>
      </c>
      <c r="M49" s="91">
        <v>511</v>
      </c>
      <c r="N49" s="46">
        <v>0.60199999999999998</v>
      </c>
      <c r="O49" s="59" t="s">
        <v>25</v>
      </c>
      <c r="P49" s="91">
        <v>512</v>
      </c>
      <c r="Q49" s="46">
        <v>-1.161</v>
      </c>
      <c r="S49" s="59">
        <v>2.72</v>
      </c>
      <c r="T49" s="59">
        <f t="shared" si="0"/>
        <v>11.073557454420248</v>
      </c>
      <c r="U49" s="59">
        <v>2.72</v>
      </c>
      <c r="V49" s="59">
        <f t="shared" si="1"/>
        <v>22.147114908840479</v>
      </c>
      <c r="W49" s="59">
        <v>2.72</v>
      </c>
      <c r="X49" s="59">
        <f t="shared" si="2"/>
        <v>31.79081836513387</v>
      </c>
      <c r="Y49" s="59">
        <v>2.72</v>
      </c>
      <c r="Z49" s="59">
        <f t="shared" si="3"/>
        <v>63.581636730267775</v>
      </c>
    </row>
    <row r="50" spans="1:26">
      <c r="A50" s="59">
        <v>0.12</v>
      </c>
      <c r="B50" s="59">
        <f t="shared" si="10"/>
        <v>1.1240488222802583</v>
      </c>
      <c r="C50" s="59">
        <v>0.12</v>
      </c>
      <c r="D50" s="59">
        <f t="shared" si="11"/>
        <v>2.0826651448387397</v>
      </c>
      <c r="E50" s="59">
        <v>0.12</v>
      </c>
      <c r="F50" s="59">
        <f t="shared" si="12"/>
        <v>1.4798657326710731</v>
      </c>
      <c r="H50" s="44" t="s">
        <v>207</v>
      </c>
      <c r="I50" s="57">
        <v>1.5</v>
      </c>
      <c r="J50" s="57">
        <v>18</v>
      </c>
      <c r="K50"/>
      <c r="L50" s="5" t="s">
        <v>34</v>
      </c>
      <c r="M50" s="91">
        <v>521</v>
      </c>
      <c r="N50" s="3">
        <v>0.83099999999999996</v>
      </c>
      <c r="O50" s="59" t="s">
        <v>34</v>
      </c>
      <c r="P50" s="91">
        <v>522</v>
      </c>
      <c r="Q50" s="3">
        <v>-1.0469999999999999</v>
      </c>
      <c r="S50" s="59">
        <v>2.78</v>
      </c>
      <c r="T50" s="59">
        <f t="shared" si="0"/>
        <v>11.316354371711746</v>
      </c>
      <c r="U50" s="59">
        <v>2.78</v>
      </c>
      <c r="V50" s="59">
        <f t="shared" si="1"/>
        <v>22.632708743423475</v>
      </c>
      <c r="W50" s="59">
        <v>2.78</v>
      </c>
      <c r="X50" s="59">
        <f t="shared" si="2"/>
        <v>32.540597560920759</v>
      </c>
      <c r="Y50" s="59">
        <v>2.78</v>
      </c>
      <c r="Z50" s="59">
        <f t="shared" si="3"/>
        <v>65.08119512184156</v>
      </c>
    </row>
    <row r="51" spans="1:26">
      <c r="A51" s="59">
        <v>0.16</v>
      </c>
      <c r="B51" s="59">
        <f t="shared" si="10"/>
        <v>1.5075567919960331</v>
      </c>
      <c r="C51" s="59">
        <v>0.16</v>
      </c>
      <c r="D51" s="59">
        <f t="shared" si="11"/>
        <v>2.9134368289809878</v>
      </c>
      <c r="E51" s="59">
        <v>0.16</v>
      </c>
      <c r="F51" s="59">
        <f t="shared" si="12"/>
        <v>1.9282411822086292</v>
      </c>
      <c r="H51" s="44" t="s">
        <v>209</v>
      </c>
      <c r="I51" s="57">
        <v>1</v>
      </c>
      <c r="J51" s="57">
        <v>18</v>
      </c>
      <c r="K51"/>
      <c r="L51" s="5" t="s">
        <v>34</v>
      </c>
      <c r="M51" s="91">
        <v>531</v>
      </c>
      <c r="N51" s="3">
        <v>0.80200000000000005</v>
      </c>
      <c r="O51" s="59" t="s">
        <v>34</v>
      </c>
      <c r="P51" s="91">
        <v>532</v>
      </c>
      <c r="Q51" s="3">
        <v>-0.97099999999999997</v>
      </c>
      <c r="S51" s="59">
        <v>2.84</v>
      </c>
      <c r="T51" s="59">
        <f t="shared" si="0"/>
        <v>11.559120034776329</v>
      </c>
      <c r="U51" s="59">
        <v>2.84</v>
      </c>
      <c r="V51" s="59">
        <f t="shared" si="1"/>
        <v>23.118240069552648</v>
      </c>
      <c r="W51" s="59">
        <v>2.84</v>
      </c>
      <c r="X51" s="59">
        <f t="shared" si="2"/>
        <v>33.291484137665186</v>
      </c>
      <c r="Y51" s="59">
        <v>2.84</v>
      </c>
      <c r="Z51" s="59">
        <f t="shared" si="3"/>
        <v>66.582968275330373</v>
      </c>
    </row>
    <row r="52" spans="1:26">
      <c r="A52" s="59">
        <v>0.2</v>
      </c>
      <c r="B52" s="59">
        <f t="shared" si="10"/>
        <v>1.8930472328119936</v>
      </c>
      <c r="C52" s="59">
        <v>0.2</v>
      </c>
      <c r="D52" s="59">
        <f t="shared" si="11"/>
        <v>3.7799506902790156</v>
      </c>
      <c r="E52" s="59">
        <v>0.2</v>
      </c>
      <c r="F52" s="59">
        <f t="shared" si="12"/>
        <v>2.3676363545205676</v>
      </c>
      <c r="H52" s="44" t="s">
        <v>211</v>
      </c>
      <c r="I52" s="57">
        <v>1.6</v>
      </c>
      <c r="J52" s="57">
        <v>23</v>
      </c>
      <c r="K52"/>
      <c r="L52" s="5" t="s">
        <v>34</v>
      </c>
      <c r="M52" s="91">
        <v>541</v>
      </c>
      <c r="N52" s="3">
        <v>0.79400000000000004</v>
      </c>
      <c r="O52" s="59" t="s">
        <v>34</v>
      </c>
      <c r="P52" s="91">
        <v>542</v>
      </c>
      <c r="Q52" s="46">
        <v>-1.105</v>
      </c>
      <c r="S52" s="59">
        <v>2.9</v>
      </c>
      <c r="T52" s="59">
        <f t="shared" si="0"/>
        <v>11.801855107910818</v>
      </c>
      <c r="U52" s="59">
        <v>2.9</v>
      </c>
      <c r="V52" s="59">
        <f t="shared" si="1"/>
        <v>23.603710215821618</v>
      </c>
      <c r="W52" s="59">
        <v>2.9</v>
      </c>
      <c r="X52" s="59">
        <f t="shared" si="2"/>
        <v>34.043456280644769</v>
      </c>
      <c r="Y52" s="59">
        <v>2.9</v>
      </c>
      <c r="Z52" s="59">
        <f t="shared" si="3"/>
        <v>68.086912561289481</v>
      </c>
    </row>
    <row r="53" spans="1:26">
      <c r="A53" s="59">
        <v>0.3</v>
      </c>
      <c r="B53" s="59">
        <f t="shared" si="10"/>
        <v>2.8631652094098374</v>
      </c>
      <c r="C53" s="59">
        <v>0.3</v>
      </c>
      <c r="D53" s="59">
        <f t="shared" si="11"/>
        <v>6.0668070445157314</v>
      </c>
      <c r="E53" s="59">
        <v>0.3</v>
      </c>
      <c r="F53" s="59">
        <f t="shared" si="12"/>
        <v>3.4380522948041703</v>
      </c>
      <c r="H53" s="44" t="s">
        <v>213</v>
      </c>
      <c r="I53" s="57">
        <v>1.3</v>
      </c>
      <c r="J53" s="57">
        <v>21</v>
      </c>
      <c r="K53"/>
      <c r="L53" s="5" t="s">
        <v>34</v>
      </c>
      <c r="M53" s="91">
        <v>551</v>
      </c>
      <c r="N53" s="46">
        <v>0.56999999999999995</v>
      </c>
      <c r="O53" s="59" t="s">
        <v>34</v>
      </c>
      <c r="P53" s="91">
        <v>552</v>
      </c>
      <c r="Q53" s="46">
        <v>-0.80700000000000005</v>
      </c>
      <c r="S53" s="59">
        <v>2.96</v>
      </c>
      <c r="T53" s="59">
        <f t="shared" si="0"/>
        <v>12.044560227837557</v>
      </c>
      <c r="U53" s="59">
        <v>2.96</v>
      </c>
      <c r="V53" s="59">
        <f t="shared" si="1"/>
        <v>24.089120455675094</v>
      </c>
      <c r="W53" s="59">
        <v>2.96</v>
      </c>
      <c r="X53" s="59">
        <f t="shared" si="2"/>
        <v>34.796493047764557</v>
      </c>
      <c r="Y53" s="59">
        <v>2.96</v>
      </c>
      <c r="Z53" s="59">
        <f t="shared" si="3"/>
        <v>69.592986095529085</v>
      </c>
    </row>
    <row r="54" spans="1:26">
      <c r="A54" s="59">
        <v>0.4</v>
      </c>
      <c r="B54" s="59">
        <f t="shared" si="10"/>
        <v>3.8400326324761216</v>
      </c>
      <c r="C54" s="59">
        <v>0.4</v>
      </c>
      <c r="D54" s="59">
        <f t="shared" si="11"/>
        <v>8.4868463476311842</v>
      </c>
      <c r="E54" s="59">
        <v>0.4</v>
      </c>
      <c r="F54" s="59">
        <f t="shared" si="12"/>
        <v>4.4797266907874196</v>
      </c>
      <c r="H54" s="44" t="s">
        <v>267</v>
      </c>
      <c r="I54" s="57">
        <v>1.5</v>
      </c>
      <c r="J54" s="57">
        <v>3.2</v>
      </c>
      <c r="K54"/>
      <c r="L54" s="5" t="s">
        <v>26</v>
      </c>
      <c r="M54" s="91">
        <v>611</v>
      </c>
      <c r="N54" s="46">
        <v>0.80200000000000005</v>
      </c>
      <c r="O54" s="59" t="s">
        <v>26</v>
      </c>
      <c r="P54" s="91">
        <v>612</v>
      </c>
      <c r="Q54" s="46">
        <v>-0.88800000000000001</v>
      </c>
      <c r="S54" s="59">
        <v>3.02</v>
      </c>
      <c r="T54" s="59">
        <f t="shared" si="0"/>
        <v>12.287236005385029</v>
      </c>
      <c r="U54" s="59">
        <v>3.02</v>
      </c>
      <c r="V54" s="59">
        <f t="shared" si="1"/>
        <v>24.574472010770037</v>
      </c>
      <c r="W54" s="59">
        <v>3.02</v>
      </c>
      <c r="X54" s="59">
        <f t="shared" si="2"/>
        <v>35.550574317650458</v>
      </c>
      <c r="Y54" s="59">
        <v>3.02</v>
      </c>
      <c r="Z54" s="59">
        <f t="shared" si="3"/>
        <v>71.101148635300945</v>
      </c>
    </row>
    <row r="55" spans="1:26">
      <c r="A55" s="59">
        <v>0.5</v>
      </c>
      <c r="B55" s="59">
        <f t="shared" si="10"/>
        <v>4.8219497848514914</v>
      </c>
      <c r="C55" s="59">
        <v>0.5</v>
      </c>
      <c r="D55" s="59">
        <f t="shared" si="11"/>
        <v>11.011002672483135</v>
      </c>
      <c r="E55" s="59">
        <v>0.5</v>
      </c>
      <c r="F55" s="59">
        <f t="shared" si="12"/>
        <v>5.5005379354442363</v>
      </c>
      <c r="H55" s="44" t="s">
        <v>306</v>
      </c>
      <c r="I55" s="57">
        <v>6</v>
      </c>
      <c r="J55" s="57">
        <v>7</v>
      </c>
      <c r="K55"/>
      <c r="L55" s="5" t="s">
        <v>35</v>
      </c>
      <c r="M55" s="91">
        <v>621</v>
      </c>
      <c r="N55" s="3">
        <v>0.81200000000000006</v>
      </c>
      <c r="O55" s="59" t="s">
        <v>35</v>
      </c>
      <c r="P55" s="91">
        <v>622</v>
      </c>
      <c r="Q55" s="3">
        <v>-1.3169999999999999</v>
      </c>
      <c r="S55" s="59">
        <v>3.08</v>
      </c>
      <c r="T55" s="59">
        <f t="shared" si="0"/>
        <v>12.529883027034501</v>
      </c>
      <c r="U55" s="59">
        <v>3.08</v>
      </c>
      <c r="V55" s="59">
        <f t="shared" si="1"/>
        <v>25.059766054069001</v>
      </c>
      <c r="W55" s="59">
        <v>3.08</v>
      </c>
      <c r="X55" s="59">
        <f t="shared" si="2"/>
        <v>36.305680741801353</v>
      </c>
      <c r="Y55" s="59">
        <v>3.08</v>
      </c>
      <c r="Z55" s="59">
        <f t="shared" si="3"/>
        <v>72.611361483602678</v>
      </c>
    </row>
    <row r="56" spans="1:26">
      <c r="A56" s="59">
        <v>0.6</v>
      </c>
      <c r="B56" s="59">
        <f t="shared" si="10"/>
        <v>5.8079099378689589</v>
      </c>
      <c r="C56" s="59">
        <v>0.6</v>
      </c>
      <c r="D56" s="59">
        <f t="shared" si="11"/>
        <v>13.62135737377328</v>
      </c>
      <c r="E56" s="59">
        <v>0.6</v>
      </c>
      <c r="F56" s="59">
        <f t="shared" si="12"/>
        <v>6.5050254022121123</v>
      </c>
      <c r="H56" s="44" t="s">
        <v>161</v>
      </c>
      <c r="I56" s="57">
        <v>8</v>
      </c>
      <c r="J56" s="57">
        <v>5</v>
      </c>
      <c r="K56"/>
      <c r="L56" t="s">
        <v>35</v>
      </c>
      <c r="M56" s="91">
        <v>631</v>
      </c>
      <c r="N56" s="3">
        <v>0.87</v>
      </c>
      <c r="O56" s="59" t="s">
        <v>35</v>
      </c>
      <c r="P56" s="91">
        <v>632</v>
      </c>
      <c r="Q56" s="3">
        <v>-1.006</v>
      </c>
      <c r="S56" s="59">
        <v>3.14</v>
      </c>
      <c r="T56" s="59">
        <f t="shared" si="0"/>
        <v>12.772501856346128</v>
      </c>
      <c r="U56" s="59">
        <v>3.14</v>
      </c>
      <c r="V56" s="59">
        <f t="shared" si="1"/>
        <v>25.545003712692235</v>
      </c>
      <c r="W56" s="59">
        <v>3.14</v>
      </c>
      <c r="X56" s="59">
        <f t="shared" si="2"/>
        <v>37.061793700409332</v>
      </c>
      <c r="Y56" s="59">
        <v>3.14</v>
      </c>
      <c r="Z56" s="59">
        <f t="shared" si="3"/>
        <v>74.123587400818707</v>
      </c>
    </row>
    <row r="57" spans="1:26">
      <c r="A57" s="59">
        <v>0.7</v>
      </c>
      <c r="B57" s="59">
        <f t="shared" si="10"/>
        <v>6.7972449991615056</v>
      </c>
      <c r="C57" s="59">
        <v>0.7</v>
      </c>
      <c r="D57" s="59">
        <f t="shared" si="11"/>
        <v>16.305645452531778</v>
      </c>
      <c r="E57" s="59">
        <v>0.7</v>
      </c>
      <c r="F57" s="59">
        <f t="shared" si="12"/>
        <v>7.4961381148658486</v>
      </c>
      <c r="H57" s="44" t="s">
        <v>307</v>
      </c>
      <c r="I57" s="57">
        <v>6</v>
      </c>
      <c r="J57" s="57">
        <v>7.1</v>
      </c>
      <c r="K57"/>
      <c r="L57" s="5" t="s">
        <v>35</v>
      </c>
      <c r="M57" s="91">
        <v>641</v>
      </c>
      <c r="N57" s="3">
        <v>0.78300000000000003</v>
      </c>
      <c r="O57" s="59" t="s">
        <v>35</v>
      </c>
      <c r="P57" s="91">
        <v>642</v>
      </c>
      <c r="Q57" s="46">
        <v>-0.88800000000000001</v>
      </c>
      <c r="S57" s="59">
        <v>3.2</v>
      </c>
      <c r="T57" s="59">
        <f t="shared" si="0"/>
        <v>13.015093035275671</v>
      </c>
      <c r="U57" s="59">
        <v>3.2</v>
      </c>
      <c r="V57" s="59">
        <f t="shared" si="1"/>
        <v>26.03018607055132</v>
      </c>
      <c r="W57" s="59">
        <v>3.2</v>
      </c>
      <c r="X57" s="59">
        <f t="shared" si="2"/>
        <v>37.818895261502767</v>
      </c>
      <c r="Y57" s="59">
        <v>3.2</v>
      </c>
      <c r="Z57" s="59">
        <f t="shared" si="3"/>
        <v>75.637790523005577</v>
      </c>
    </row>
    <row r="58" spans="1:26" ht="23">
      <c r="A58" s="59">
        <v>0.8</v>
      </c>
      <c r="B58" s="59">
        <f t="shared" si="10"/>
        <v>7.7894784466510831</v>
      </c>
      <c r="C58" s="59">
        <v>0.8</v>
      </c>
      <c r="D58" s="59">
        <f t="shared" si="11"/>
        <v>19.054894317413485</v>
      </c>
      <c r="E58" s="59">
        <v>0.8</v>
      </c>
      <c r="F58" s="59">
        <f t="shared" si="12"/>
        <v>8.4759431852096405</v>
      </c>
      <c r="H58" s="44" t="s">
        <v>308</v>
      </c>
      <c r="I58" s="57">
        <v>3</v>
      </c>
      <c r="J58" s="57">
        <v>14.6</v>
      </c>
      <c r="K58"/>
      <c r="L58" s="5" t="s">
        <v>35</v>
      </c>
      <c r="M58" s="91">
        <v>651</v>
      </c>
      <c r="N58" s="46">
        <v>0.61299999999999999</v>
      </c>
      <c r="O58" s="59" t="s">
        <v>35</v>
      </c>
      <c r="P58" s="91">
        <v>652</v>
      </c>
      <c r="Q58" s="46">
        <v>-0.58799999999999997</v>
      </c>
      <c r="S58" s="59">
        <v>3.26</v>
      </c>
      <c r="T58" s="59">
        <f t="shared" si="0"/>
        <v>13.25765708539247</v>
      </c>
      <c r="U58" s="59">
        <v>3.26</v>
      </c>
      <c r="V58" s="59">
        <f t="shared" si="1"/>
        <v>26.515314170784919</v>
      </c>
      <c r="W58" s="59">
        <v>3.26</v>
      </c>
      <c r="X58" s="59">
        <f t="shared" si="2"/>
        <v>38.576968143103457</v>
      </c>
      <c r="Y58" s="59">
        <v>3.26</v>
      </c>
      <c r="Z58" s="59">
        <f t="shared" si="3"/>
        <v>77.153936286206957</v>
      </c>
    </row>
    <row r="59" spans="1:26" ht="23">
      <c r="A59" s="59">
        <v>0.9</v>
      </c>
      <c r="B59" s="59">
        <f t="shared" si="10"/>
        <v>8.7842529152274746</v>
      </c>
      <c r="C59" s="59">
        <v>0.9</v>
      </c>
      <c r="D59" s="59">
        <f t="shared" si="11"/>
        <v>21.862228807268952</v>
      </c>
      <c r="E59" s="59">
        <v>0.9</v>
      </c>
      <c r="F59" s="59">
        <f t="shared" si="12"/>
        <v>9.445968114627755</v>
      </c>
      <c r="H59" s="44" t="s">
        <v>310</v>
      </c>
      <c r="I59" s="57">
        <v>1</v>
      </c>
      <c r="J59" s="57">
        <v>7.7</v>
      </c>
      <c r="K59"/>
      <c r="L59" s="5" t="s">
        <v>27</v>
      </c>
      <c r="M59" s="91">
        <v>711</v>
      </c>
      <c r="N59" s="3" t="s">
        <v>514</v>
      </c>
      <c r="O59" s="59" t="s">
        <v>27</v>
      </c>
      <c r="P59" s="91">
        <v>712</v>
      </c>
      <c r="Q59" s="3" t="s">
        <v>514</v>
      </c>
      <c r="S59" s="59">
        <v>3.32</v>
      </c>
      <c r="T59" s="59">
        <f t="shared" si="0"/>
        <v>13.50019450900745</v>
      </c>
      <c r="U59" s="59">
        <v>3.32</v>
      </c>
      <c r="V59" s="59">
        <f t="shared" si="1"/>
        <v>27.000389018014904</v>
      </c>
      <c r="W59" s="59">
        <v>3.32</v>
      </c>
      <c r="X59" s="59">
        <f t="shared" si="2"/>
        <v>39.335995678125371</v>
      </c>
      <c r="Y59" s="59">
        <v>3.32</v>
      </c>
      <c r="Z59" s="59">
        <f t="shared" si="3"/>
        <v>78.671991356250814</v>
      </c>
    </row>
    <row r="60" spans="1:26">
      <c r="A60" s="59">
        <v>1</v>
      </c>
      <c r="B60" s="59">
        <f t="shared" si="10"/>
        <v>9.7812902948470164</v>
      </c>
      <c r="C60" s="59">
        <v>1</v>
      </c>
      <c r="D60" s="59">
        <f t="shared" si="11"/>
        <v>24.722197581848022</v>
      </c>
      <c r="E60" s="59">
        <v>1</v>
      </c>
      <c r="F60" s="59">
        <f t="shared" si="12"/>
        <v>10.407386487393207</v>
      </c>
      <c r="H60" s="44" t="s">
        <v>397</v>
      </c>
      <c r="I60" s="57">
        <v>1</v>
      </c>
      <c r="J60" s="57">
        <v>18.899999999999999</v>
      </c>
      <c r="K60"/>
      <c r="L60" s="5" t="s">
        <v>36</v>
      </c>
      <c r="M60" s="91">
        <v>721</v>
      </c>
      <c r="N60" s="3">
        <v>0.72199999999999998</v>
      </c>
      <c r="O60" s="59" t="s">
        <v>36</v>
      </c>
      <c r="P60" s="91">
        <v>722</v>
      </c>
      <c r="Q60" s="3">
        <v>-0.82599999999999996</v>
      </c>
      <c r="S60" s="59">
        <v>3.38</v>
      </c>
      <c r="T60" s="59">
        <f t="shared" si="0"/>
        <v>13.742705790219571</v>
      </c>
      <c r="U60" s="59">
        <v>3.38</v>
      </c>
      <c r="V60" s="59">
        <f t="shared" si="1"/>
        <v>27.485411580439145</v>
      </c>
      <c r="W60" s="59">
        <v>3.38</v>
      </c>
      <c r="X60" s="59">
        <f t="shared" si="2"/>
        <v>40.095961781769098</v>
      </c>
      <c r="Y60" s="59">
        <v>3.38</v>
      </c>
      <c r="Z60" s="59">
        <f t="shared" si="3"/>
        <v>80.191923563538197</v>
      </c>
    </row>
    <row r="61" spans="1:26">
      <c r="A61" s="59">
        <v>1.1000000000000001</v>
      </c>
      <c r="B61" s="59">
        <f t="shared" si="10"/>
        <v>10.780367899290489</v>
      </c>
      <c r="C61" s="59">
        <v>1.1000000000000001</v>
      </c>
      <c r="D61" s="59">
        <f t="shared" si="11"/>
        <v>27.630362895933356</v>
      </c>
      <c r="E61" s="59">
        <v>1.1000000000000001</v>
      </c>
      <c r="F61" s="59">
        <f t="shared" si="12"/>
        <v>11.361127400436589</v>
      </c>
      <c r="H61" s="44" t="s">
        <v>253</v>
      </c>
      <c r="I61" s="57">
        <v>4</v>
      </c>
      <c r="J61" s="57">
        <v>9</v>
      </c>
      <c r="K61"/>
      <c r="L61" s="5" t="s">
        <v>36</v>
      </c>
      <c r="M61" s="91">
        <v>731</v>
      </c>
      <c r="N61" s="3">
        <v>0.66300000000000003</v>
      </c>
      <c r="O61" s="59" t="s">
        <v>36</v>
      </c>
      <c r="P61" s="91">
        <v>732</v>
      </c>
      <c r="Q61" s="3">
        <v>-0.84</v>
      </c>
      <c r="S61" s="59">
        <v>3.44</v>
      </c>
      <c r="T61" s="59">
        <f t="shared" si="0"/>
        <v>13.985191395887718</v>
      </c>
      <c r="U61" s="59">
        <v>3.44</v>
      </c>
      <c r="V61" s="59">
        <f t="shared" si="1"/>
        <v>27.970382791775414</v>
      </c>
      <c r="W61" s="59">
        <v>3.44</v>
      </c>
      <c r="X61" s="59">
        <f t="shared" si="2"/>
        <v>40.856850921194408</v>
      </c>
      <c r="Y61" s="59">
        <v>3.44</v>
      </c>
      <c r="Z61" s="59">
        <f t="shared" si="3"/>
        <v>81.713701842388787</v>
      </c>
    </row>
    <row r="62" spans="1:26">
      <c r="A62" s="59">
        <v>1.2</v>
      </c>
      <c r="B62" s="59">
        <f t="shared" si="10"/>
        <v>11.781303340630451</v>
      </c>
      <c r="C62" s="59">
        <v>1.2</v>
      </c>
      <c r="D62" s="59">
        <f t="shared" si="11"/>
        <v>30.583035745594277</v>
      </c>
      <c r="E62" s="59">
        <v>1.2</v>
      </c>
      <c r="F62" s="59">
        <f t="shared" si="12"/>
        <v>12.307944107591046</v>
      </c>
      <c r="H62" s="44" t="s">
        <v>255</v>
      </c>
      <c r="I62" s="57">
        <v>7</v>
      </c>
      <c r="J62" s="57">
        <v>5.9</v>
      </c>
      <c r="K62"/>
      <c r="L62" s="5" t="s">
        <v>36</v>
      </c>
      <c r="M62" s="91">
        <v>741</v>
      </c>
      <c r="N62">
        <v>0.68400000000000005</v>
      </c>
      <c r="O62" s="59" t="s">
        <v>36</v>
      </c>
      <c r="P62" s="91">
        <v>742</v>
      </c>
      <c r="Q62" s="46">
        <v>-1.109</v>
      </c>
      <c r="S62" s="59">
        <v>3.5</v>
      </c>
      <c r="T62" s="59">
        <f t="shared" si="0"/>
        <v>14.227651776534726</v>
      </c>
      <c r="U62" s="59">
        <v>3.5</v>
      </c>
      <c r="V62" s="59">
        <f t="shared" si="1"/>
        <v>28.455303553069456</v>
      </c>
      <c r="W62" s="59">
        <v>3.5</v>
      </c>
      <c r="X62" s="59">
        <f t="shared" si="2"/>
        <v>41.618648087273975</v>
      </c>
      <c r="Y62" s="59">
        <v>3.5</v>
      </c>
      <c r="Z62" s="59">
        <f t="shared" si="3"/>
        <v>83.237296174547922</v>
      </c>
    </row>
    <row r="63" spans="1:26">
      <c r="A63" s="59">
        <v>1.3</v>
      </c>
      <c r="B63" s="59">
        <f t="shared" si="10"/>
        <v>12.783944460297539</v>
      </c>
      <c r="C63" s="59">
        <v>1.3</v>
      </c>
      <c r="D63" s="59">
        <f t="shared" si="11"/>
        <v>33.577096852002128</v>
      </c>
      <c r="E63" s="59">
        <v>1.3</v>
      </c>
      <c r="F63" s="59">
        <f t="shared" si="12"/>
        <v>13.248459240178196</v>
      </c>
      <c r="H63" s="44" t="s">
        <v>215</v>
      </c>
      <c r="I63" s="57">
        <v>1.5</v>
      </c>
      <c r="J63" s="57">
        <v>22.2</v>
      </c>
      <c r="K63"/>
      <c r="L63" s="5" t="s">
        <v>36</v>
      </c>
      <c r="M63" s="91">
        <v>751</v>
      </c>
      <c r="N63">
        <v>0.39400000000000002</v>
      </c>
      <c r="O63" s="59" t="s">
        <v>36</v>
      </c>
      <c r="P63" s="91">
        <v>752</v>
      </c>
      <c r="Q63" s="46">
        <v>-0.58299999999999996</v>
      </c>
      <c r="S63" s="59">
        <v>3.56</v>
      </c>
      <c r="T63" s="59">
        <f t="shared" si="0"/>
        <v>14.470087367189404</v>
      </c>
      <c r="U63" s="59">
        <v>3.56</v>
      </c>
      <c r="V63" s="59">
        <f t="shared" si="1"/>
        <v>28.940174734378811</v>
      </c>
      <c r="W63" s="59">
        <v>3.56</v>
      </c>
      <c r="X63" s="59">
        <f t="shared" si="2"/>
        <v>42.381338768252725</v>
      </c>
      <c r="Y63" s="59">
        <v>3.56</v>
      </c>
      <c r="Z63" s="59">
        <f t="shared" si="3"/>
        <v>84.76267753650545</v>
      </c>
    </row>
    <row r="64" spans="1:26">
      <c r="A64" s="59">
        <v>1.4</v>
      </c>
      <c r="B64" s="59">
        <f t="shared" si="10"/>
        <v>13.788162363462586</v>
      </c>
      <c r="C64" s="59">
        <v>1.4</v>
      </c>
      <c r="D64" s="59">
        <f t="shared" si="11"/>
        <v>36.609871105057636</v>
      </c>
      <c r="E64" s="59">
        <v>1.4</v>
      </c>
      <c r="F64" s="59">
        <f t="shared" si="12"/>
        <v>14.183195796464824</v>
      </c>
      <c r="H64" s="44" t="s">
        <v>269</v>
      </c>
      <c r="I64" s="57">
        <v>1.5</v>
      </c>
      <c r="J64" s="57" t="s">
        <v>1</v>
      </c>
      <c r="K64"/>
      <c r="L64" s="5" t="s">
        <v>28</v>
      </c>
      <c r="M64" s="91">
        <v>811</v>
      </c>
      <c r="N64" s="3" t="s">
        <v>514</v>
      </c>
      <c r="O64" s="59" t="s">
        <v>28</v>
      </c>
      <c r="P64" s="91">
        <v>812</v>
      </c>
      <c r="Q64" s="3" t="s">
        <v>514</v>
      </c>
      <c r="S64" s="59">
        <v>3.62</v>
      </c>
      <c r="T64" s="59">
        <f t="shared" si="0"/>
        <v>14.712498588171531</v>
      </c>
      <c r="U64" s="59">
        <v>3.62</v>
      </c>
      <c r="V64" s="59">
        <f t="shared" si="1"/>
        <v>29.424997176343066</v>
      </c>
      <c r="W64" s="59">
        <v>3.62</v>
      </c>
      <c r="X64" s="59">
        <f t="shared" si="2"/>
        <v>43.144908925153899</v>
      </c>
      <c r="Y64" s="59">
        <v>3.62</v>
      </c>
      <c r="Z64" s="59">
        <f t="shared" si="3"/>
        <v>86.289817850307728</v>
      </c>
    </row>
    <row r="65" spans="1:26">
      <c r="A65" s="59">
        <v>1.5</v>
      </c>
      <c r="B65" s="59">
        <f t="shared" si="10"/>
        <v>14.793846444995394</v>
      </c>
      <c r="C65" s="59">
        <v>1.5</v>
      </c>
      <c r="D65" s="59">
        <f t="shared" si="11"/>
        <v>39.679036774523198</v>
      </c>
      <c r="E65" s="59">
        <v>1.5</v>
      </c>
      <c r="F65" s="59">
        <f t="shared" si="12"/>
        <v>15.1125990811801</v>
      </c>
      <c r="H65" s="44" t="s">
        <v>271</v>
      </c>
      <c r="I65" s="57">
        <v>8.5</v>
      </c>
      <c r="J65" s="57" t="s">
        <v>1</v>
      </c>
      <c r="K65"/>
      <c r="L65" s="5" t="s">
        <v>37</v>
      </c>
      <c r="M65" s="91">
        <v>821</v>
      </c>
      <c r="N65" s="3" t="s">
        <v>514</v>
      </c>
      <c r="O65" s="59" t="s">
        <v>37</v>
      </c>
      <c r="P65" s="91">
        <v>822</v>
      </c>
      <c r="Q65" s="3" t="s">
        <v>514</v>
      </c>
      <c r="S65" s="59">
        <v>3.68</v>
      </c>
      <c r="T65" s="59">
        <f t="shared" si="0"/>
        <v>14.954885845824808</v>
      </c>
      <c r="U65" s="59">
        <v>3.68</v>
      </c>
      <c r="V65" s="59">
        <f t="shared" si="1"/>
        <v>29.90977169164962</v>
      </c>
      <c r="W65" s="59">
        <v>3.68</v>
      </c>
      <c r="X65" s="59">
        <f t="shared" si="2"/>
        <v>43.909344968789064</v>
      </c>
      <c r="Y65" s="59">
        <v>3.68</v>
      </c>
      <c r="Z65" s="59">
        <f t="shared" si="3"/>
        <v>87.818689937578171</v>
      </c>
    </row>
    <row r="66" spans="1:26">
      <c r="A66" s="59">
        <v>1.6</v>
      </c>
      <c r="B66" s="59">
        <f t="shared" si="10"/>
        <v>15.800900741751461</v>
      </c>
      <c r="C66" s="59">
        <v>1.6</v>
      </c>
      <c r="D66" s="59">
        <f t="shared" si="11"/>
        <v>42.782558158265751</v>
      </c>
      <c r="E66" s="59">
        <v>1.6</v>
      </c>
      <c r="F66" s="59">
        <f t="shared" si="12"/>
        <v>16.037052668111286</v>
      </c>
      <c r="H66" s="44" t="s">
        <v>273</v>
      </c>
      <c r="I66" s="57">
        <v>1.7</v>
      </c>
      <c r="J66" s="57">
        <v>10.8</v>
      </c>
      <c r="K66"/>
      <c r="L66" s="5" t="s">
        <v>37</v>
      </c>
      <c r="M66" s="91">
        <v>831</v>
      </c>
      <c r="N66" s="3">
        <v>0.66</v>
      </c>
      <c r="O66" s="59" t="s">
        <v>37</v>
      </c>
      <c r="P66" s="91">
        <v>832</v>
      </c>
      <c r="Q66" s="3">
        <v>-0.751</v>
      </c>
      <c r="S66" s="59">
        <v>3.74</v>
      </c>
      <c r="T66" s="59">
        <f t="shared" si="0"/>
        <v>15.197249533201964</v>
      </c>
      <c r="U66" s="59">
        <v>3.74</v>
      </c>
      <c r="V66" s="59">
        <f t="shared" si="1"/>
        <v>30.394499066403942</v>
      </c>
      <c r="W66" s="59">
        <v>3.74</v>
      </c>
      <c r="X66" s="59">
        <f t="shared" si="2"/>
        <v>44.67463373824318</v>
      </c>
      <c r="Y66" s="59">
        <v>3.74</v>
      </c>
      <c r="Z66" s="59">
        <f t="shared" si="3"/>
        <v>89.349267476486403</v>
      </c>
    </row>
    <row r="67" spans="1:26">
      <c r="A67" s="59">
        <v>1.7</v>
      </c>
      <c r="B67" s="59">
        <f t="shared" si="10"/>
        <v>16.809241196167349</v>
      </c>
      <c r="C67" s="59">
        <v>1.7</v>
      </c>
      <c r="D67" s="59">
        <f t="shared" si="11"/>
        <v>45.918634515147346</v>
      </c>
      <c r="E67" s="59">
        <v>1.7</v>
      </c>
      <c r="F67" s="59">
        <f t="shared" si="12"/>
        <v>16.956890287426958</v>
      </c>
      <c r="H67" s="44" t="s">
        <v>217</v>
      </c>
      <c r="I67" s="57">
        <v>1.5</v>
      </c>
      <c r="J67" s="57">
        <v>22.2</v>
      </c>
      <c r="K67"/>
      <c r="L67" s="5" t="s">
        <v>37</v>
      </c>
      <c r="M67" s="91">
        <v>841</v>
      </c>
      <c r="N67">
        <v>0.69</v>
      </c>
      <c r="O67" s="59" t="s">
        <v>37</v>
      </c>
      <c r="P67" s="91">
        <v>842</v>
      </c>
      <c r="Q67" s="46">
        <v>-0.872</v>
      </c>
      <c r="S67" s="59">
        <v>3.8</v>
      </c>
      <c r="T67" s="59">
        <f t="shared" si="0"/>
        <v>15.439590030705727</v>
      </c>
      <c r="U67" s="59">
        <v>3.8</v>
      </c>
      <c r="V67" s="59">
        <f t="shared" si="1"/>
        <v>30.879180061411457</v>
      </c>
      <c r="W67" s="59">
        <v>3.8</v>
      </c>
      <c r="X67" s="59">
        <f t="shared" si="2"/>
        <v>45.440762480717609</v>
      </c>
      <c r="Y67" s="59">
        <v>3.8</v>
      </c>
      <c r="Z67" s="59">
        <f t="shared" si="3"/>
        <v>90.881524961435261</v>
      </c>
    </row>
    <row r="68" spans="1:26">
      <c r="A68" s="59">
        <v>1.8</v>
      </c>
      <c r="B68" s="59">
        <f t="shared" si="10"/>
        <v>17.818793562953356</v>
      </c>
      <c r="C68" s="59">
        <v>1.8</v>
      </c>
      <c r="D68" s="59">
        <f t="shared" si="11"/>
        <v>49.085660609597042</v>
      </c>
      <c r="E68" s="59">
        <v>1.8</v>
      </c>
      <c r="F68" s="59">
        <f t="shared" si="12"/>
        <v>17.872404857541344</v>
      </c>
      <c r="H68" s="44" t="s">
        <v>399</v>
      </c>
      <c r="I68" s="57">
        <v>1.6</v>
      </c>
      <c r="J68" s="57">
        <v>9.6</v>
      </c>
      <c r="K68"/>
      <c r="L68" s="5" t="s">
        <v>37</v>
      </c>
      <c r="M68" s="91">
        <v>851</v>
      </c>
      <c r="N68">
        <v>0.248</v>
      </c>
      <c r="O68" s="59" t="s">
        <v>37</v>
      </c>
      <c r="P68" s="91">
        <v>852</v>
      </c>
      <c r="Q68" s="46">
        <v>-0.77700000000000002</v>
      </c>
      <c r="S68" s="59">
        <v>3.86</v>
      </c>
      <c r="T68" s="59">
        <f t="shared" si="0"/>
        <v>15.681907706689364</v>
      </c>
      <c r="U68" s="59">
        <v>3.86</v>
      </c>
      <c r="V68" s="59">
        <f t="shared" si="1"/>
        <v>31.363815413378688</v>
      </c>
      <c r="W68" s="59">
        <v>3.86</v>
      </c>
      <c r="X68" s="59">
        <f t="shared" si="2"/>
        <v>46.207718832625289</v>
      </c>
      <c r="Y68" s="59">
        <v>3.86</v>
      </c>
      <c r="Z68" s="59">
        <f t="shared" si="3"/>
        <v>92.415437665250593</v>
      </c>
    </row>
    <row r="69" spans="1:26">
      <c r="A69" s="59">
        <v>1.9</v>
      </c>
      <c r="B69" s="59">
        <f t="shared" si="10"/>
        <v>18.829491780219879</v>
      </c>
      <c r="C69" s="59">
        <v>1.9</v>
      </c>
      <c r="D69" s="59">
        <f t="shared" si="11"/>
        <v>52.282195723435571</v>
      </c>
      <c r="E69" s="59">
        <v>1.9</v>
      </c>
      <c r="F69" s="59">
        <f t="shared" si="12"/>
        <v>18.78385546845708</v>
      </c>
      <c r="H69" s="44" t="s">
        <v>401</v>
      </c>
      <c r="I69" s="57">
        <v>2.8</v>
      </c>
      <c r="J69" s="57">
        <v>9.1</v>
      </c>
      <c r="K69"/>
      <c r="L69" s="5" t="s">
        <v>29</v>
      </c>
      <c r="M69" s="91">
        <v>911</v>
      </c>
      <c r="N69" s="3" t="s">
        <v>514</v>
      </c>
      <c r="O69" s="59" t="s">
        <v>29</v>
      </c>
      <c r="P69" s="91">
        <v>912</v>
      </c>
      <c r="Q69" s="3" t="s">
        <v>514</v>
      </c>
      <c r="S69" s="59">
        <v>3.92</v>
      </c>
      <c r="T69" s="59">
        <f t="shared" ref="T69:T132" si="13">10^(-1.006^-1*(0.87+LOG((0.03*1000)^-1.006/S69)))</f>
        <v>15.924202918019658</v>
      </c>
      <c r="U69" s="59">
        <v>3.92</v>
      </c>
      <c r="V69" s="59">
        <f t="shared" ref="V69:V132" si="14">10^(-1.006^-1*(0.87+LOG((0.03*2000)^-1.006/U69)))</f>
        <v>31.848405836039319</v>
      </c>
      <c r="W69" s="59">
        <v>3.92</v>
      </c>
      <c r="X69" s="59">
        <f t="shared" ref="X69:X132" si="15">10^(-0.936^-1*(0.411+LOG((0.03*1000)^-0.936/W69)))</f>
        <v>46.975490801842483</v>
      </c>
      <c r="Y69" s="59">
        <v>3.92</v>
      </c>
      <c r="Z69" s="59">
        <f t="shared" ref="Z69:Z132" si="16">10^(-0.936^-1*(0.411+LOG((0.03*2000)^-0.936/Y69)))</f>
        <v>93.950981603685065</v>
      </c>
    </row>
    <row r="70" spans="1:26" ht="23">
      <c r="A70" s="59">
        <v>2</v>
      </c>
      <c r="B70" s="59">
        <f t="shared" si="10"/>
        <v>19.841276682854339</v>
      </c>
      <c r="C70" s="59">
        <v>2</v>
      </c>
      <c r="D70" s="59">
        <f t="shared" si="11"/>
        <v>55.506938964178957</v>
      </c>
      <c r="E70" s="59">
        <v>2</v>
      </c>
      <c r="F70" s="59">
        <f t="shared" si="12"/>
        <v>19.691472864867539</v>
      </c>
      <c r="H70" s="44" t="s">
        <v>311</v>
      </c>
      <c r="I70" s="57">
        <v>5.5</v>
      </c>
      <c r="J70" s="57">
        <v>10.3</v>
      </c>
      <c r="K70"/>
      <c r="L70" s="5" t="s">
        <v>38</v>
      </c>
      <c r="M70" s="91">
        <v>921</v>
      </c>
      <c r="N70" s="3" t="s">
        <v>514</v>
      </c>
      <c r="O70" s="59" t="s">
        <v>38</v>
      </c>
      <c r="P70" s="91">
        <v>922</v>
      </c>
      <c r="Q70" s="3" t="s">
        <v>514</v>
      </c>
      <c r="S70" s="59">
        <v>3.98</v>
      </c>
      <c r="T70" s="59">
        <f t="shared" si="13"/>
        <v>16.166476010605592</v>
      </c>
      <c r="U70" s="59">
        <v>3.98</v>
      </c>
      <c r="V70" s="59">
        <f t="shared" si="14"/>
        <v>32.332952021211156</v>
      </c>
      <c r="W70" s="59">
        <v>3.98</v>
      </c>
      <c r="X70" s="59">
        <f t="shared" si="15"/>
        <v>47.744066751028903</v>
      </c>
      <c r="Y70" s="59">
        <v>3.98</v>
      </c>
      <c r="Z70" s="59">
        <f t="shared" si="16"/>
        <v>95.488133502057778</v>
      </c>
    </row>
    <row r="71" spans="1:26" ht="23">
      <c r="A71" s="59">
        <v>2.1</v>
      </c>
      <c r="B71" s="59">
        <f t="shared" si="10"/>
        <v>20.854094972642923</v>
      </c>
      <c r="C71" s="59">
        <v>2.1</v>
      </c>
      <c r="D71" s="59">
        <f t="shared" si="11"/>
        <v>58.758709337179695</v>
      </c>
      <c r="E71" s="59">
        <v>2.1</v>
      </c>
      <c r="F71" s="59">
        <f t="shared" si="12"/>
        <v>20.595463810390296</v>
      </c>
      <c r="H71" s="44" t="s">
        <v>313</v>
      </c>
      <c r="I71" s="57">
        <v>6</v>
      </c>
      <c r="J71" s="57">
        <v>6.8</v>
      </c>
      <c r="K71"/>
      <c r="L71" s="5" t="s">
        <v>38</v>
      </c>
      <c r="M71" s="91">
        <v>931</v>
      </c>
      <c r="N71" s="3" t="s">
        <v>514</v>
      </c>
      <c r="O71" s="59" t="s">
        <v>38</v>
      </c>
      <c r="P71" s="91">
        <v>932</v>
      </c>
      <c r="Q71" s="3" t="s">
        <v>514</v>
      </c>
      <c r="S71" s="59">
        <v>4.04</v>
      </c>
      <c r="T71" s="59">
        <f t="shared" si="13"/>
        <v>16.408727319894837</v>
      </c>
      <c r="U71" s="59">
        <v>4.04</v>
      </c>
      <c r="V71" s="59">
        <f t="shared" si="14"/>
        <v>32.817454639789645</v>
      </c>
      <c r="W71" s="59">
        <v>4.04</v>
      </c>
      <c r="X71" s="59">
        <f t="shared" si="15"/>
        <v>48.51343538193737</v>
      </c>
      <c r="Y71" s="59">
        <v>4.04</v>
      </c>
      <c r="Z71" s="59">
        <f t="shared" si="16"/>
        <v>97.026870763874754</v>
      </c>
    </row>
    <row r="72" spans="1:26">
      <c r="A72" s="59">
        <v>2.2000000000000002</v>
      </c>
      <c r="B72" s="59">
        <f t="shared" si="10"/>
        <v>21.867898384067871</v>
      </c>
      <c r="C72" s="59">
        <v>2.2000000000000002</v>
      </c>
      <c r="D72" s="59">
        <f t="shared" si="11"/>
        <v>62.03642947780547</v>
      </c>
      <c r="E72" s="59">
        <v>2.2000000000000002</v>
      </c>
      <c r="F72" s="59">
        <f t="shared" si="12"/>
        <v>21.496014603762063</v>
      </c>
      <c r="H72" s="44" t="s">
        <v>403</v>
      </c>
      <c r="I72" s="57">
        <v>1.8</v>
      </c>
      <c r="J72" s="57">
        <v>9.6999999999999993</v>
      </c>
      <c r="K72"/>
      <c r="L72" s="5" t="s">
        <v>38</v>
      </c>
      <c r="M72" s="91">
        <v>941</v>
      </c>
      <c r="N72" s="3" t="s">
        <v>514</v>
      </c>
      <c r="O72" s="59" t="s">
        <v>38</v>
      </c>
      <c r="P72" s="91">
        <v>942</v>
      </c>
      <c r="Q72" s="3" t="s">
        <v>514</v>
      </c>
      <c r="S72" s="59">
        <v>4.0999999999999996</v>
      </c>
      <c r="T72" s="59">
        <f t="shared" si="13"/>
        <v>16.650957171340899</v>
      </c>
      <c r="U72" s="59">
        <v>4.0999999999999996</v>
      </c>
      <c r="V72" s="59">
        <f t="shared" si="14"/>
        <v>33.301914342681819</v>
      </c>
      <c r="W72" s="59">
        <v>4.0999999999999996</v>
      </c>
      <c r="X72" s="59">
        <f t="shared" si="15"/>
        <v>49.283585720640474</v>
      </c>
      <c r="Y72" s="59">
        <v>4.0999999999999996</v>
      </c>
      <c r="Z72" s="59">
        <f t="shared" si="16"/>
        <v>98.567171441280905</v>
      </c>
    </row>
    <row r="73" spans="1:26">
      <c r="A73" s="59">
        <v>2.2999999999999998</v>
      </c>
      <c r="B73" s="59">
        <f t="shared" si="10"/>
        <v>22.882643001363931</v>
      </c>
      <c r="C73" s="59">
        <v>2.2999999999999998</v>
      </c>
      <c r="D73" s="59">
        <f t="shared" si="11"/>
        <v>65.339112234517017</v>
      </c>
      <c r="E73" s="59">
        <v>2.2999999999999998</v>
      </c>
      <c r="F73" s="59">
        <f t="shared" si="12"/>
        <v>22.393293942907906</v>
      </c>
      <c r="H73" s="44" t="s">
        <v>405</v>
      </c>
      <c r="I73" s="57">
        <v>1</v>
      </c>
      <c r="J73" s="57">
        <v>14.1</v>
      </c>
      <c r="K73"/>
      <c r="L73" s="5" t="s">
        <v>38</v>
      </c>
      <c r="M73" s="91">
        <v>951</v>
      </c>
      <c r="N73" s="3" t="s">
        <v>514</v>
      </c>
      <c r="O73" s="59" t="s">
        <v>38</v>
      </c>
      <c r="P73" s="91">
        <v>952</v>
      </c>
      <c r="Q73" s="46" t="s">
        <v>514</v>
      </c>
      <c r="S73" s="59">
        <v>4.16</v>
      </c>
      <c r="T73" s="59">
        <f t="shared" si="13"/>
        <v>16.893165880842822</v>
      </c>
      <c r="U73" s="59">
        <v>4.16</v>
      </c>
      <c r="V73" s="59">
        <f t="shared" si="14"/>
        <v>33.786331761685645</v>
      </c>
      <c r="W73" s="59">
        <v>4.16</v>
      </c>
      <c r="X73" s="59">
        <f t="shared" si="15"/>
        <v>50.054507103607506</v>
      </c>
      <c r="Y73" s="59">
        <v>4.16</v>
      </c>
      <c r="Z73" s="59">
        <f t="shared" si="16"/>
        <v>100.10901420721507</v>
      </c>
    </row>
    <row r="74" spans="1:26">
      <c r="A74" s="59">
        <v>2.4</v>
      </c>
      <c r="B74" s="59">
        <f t="shared" si="10"/>
        <v>23.898288694001067</v>
      </c>
      <c r="C74" s="59">
        <v>2.4</v>
      </c>
      <c r="D74" s="59">
        <f t="shared" si="11"/>
        <v>68.66584950022505</v>
      </c>
      <c r="E74" s="59">
        <v>2.4</v>
      </c>
      <c r="F74" s="59">
        <f t="shared" si="12"/>
        <v>23.287455280969496</v>
      </c>
      <c r="H74" s="44" t="s">
        <v>407</v>
      </c>
      <c r="I74" s="57">
        <v>2.5</v>
      </c>
      <c r="J74" s="57" t="s">
        <v>1</v>
      </c>
      <c r="K74"/>
      <c r="S74" s="59">
        <v>4.22</v>
      </c>
      <c r="T74" s="59">
        <f t="shared" si="13"/>
        <v>17.135353755159382</v>
      </c>
      <c r="U74" s="59">
        <v>4.22</v>
      </c>
      <c r="V74" s="59">
        <f t="shared" si="14"/>
        <v>34.270707510318779</v>
      </c>
      <c r="W74" s="59">
        <v>4.22</v>
      </c>
      <c r="X74" s="59">
        <f t="shared" si="15"/>
        <v>50.826189164571517</v>
      </c>
      <c r="Y74" s="59">
        <v>4.22</v>
      </c>
      <c r="Z74" s="59">
        <f t="shared" si="16"/>
        <v>101.652378329143</v>
      </c>
    </row>
    <row r="75" spans="1:26">
      <c r="A75" s="59">
        <v>2.5</v>
      </c>
      <c r="B75" s="59">
        <f t="shared" si="10"/>
        <v>24.914798645962616</v>
      </c>
      <c r="C75" s="59">
        <v>2.5</v>
      </c>
      <c r="D75" s="59">
        <f t="shared" si="11"/>
        <v>72.015802836647907</v>
      </c>
      <c r="E75" s="59">
        <v>2.5</v>
      </c>
      <c r="F75" s="59">
        <f t="shared" si="12"/>
        <v>24.178638781853024</v>
      </c>
      <c r="H75" s="44" t="s">
        <v>408</v>
      </c>
      <c r="I75" s="57">
        <v>1.8</v>
      </c>
      <c r="J75" s="57">
        <v>6.2</v>
      </c>
      <c r="K75"/>
      <c r="S75" s="59">
        <v>4.28</v>
      </c>
      <c r="T75" s="59">
        <f t="shared" si="13"/>
        <v>17.377521092299862</v>
      </c>
      <c r="U75" s="59">
        <v>4.28</v>
      </c>
      <c r="V75" s="59">
        <f t="shared" si="14"/>
        <v>34.755042184599681</v>
      </c>
      <c r="W75" s="59">
        <v>4.28</v>
      </c>
      <c r="X75" s="59">
        <f t="shared" si="15"/>
        <v>51.5986218221313</v>
      </c>
      <c r="Y75" s="59">
        <v>4.28</v>
      </c>
      <c r="Z75" s="59">
        <f t="shared" si="16"/>
        <v>103.19724364426257</v>
      </c>
    </row>
    <row r="76" spans="1:26">
      <c r="A76" s="59">
        <v>2.6</v>
      </c>
      <c r="B76" s="59">
        <f t="shared" si="10"/>
        <v>25.932138960095504</v>
      </c>
      <c r="C76" s="59">
        <v>2.6</v>
      </c>
      <c r="D76" s="59">
        <f t="shared" si="11"/>
        <v>75.388195543217037</v>
      </c>
      <c r="E76" s="59">
        <v>2.6</v>
      </c>
      <c r="F76" s="59">
        <f t="shared" si="12"/>
        <v>25.066972956686762</v>
      </c>
      <c r="H76" s="44" t="s">
        <v>275</v>
      </c>
      <c r="I76" s="57">
        <v>1</v>
      </c>
      <c r="J76" s="57" t="s">
        <v>1</v>
      </c>
      <c r="K76"/>
      <c r="S76" s="59">
        <v>4.34</v>
      </c>
      <c r="T76" s="59">
        <f t="shared" si="13"/>
        <v>17.619668181892695</v>
      </c>
      <c r="U76" s="59">
        <v>4.34</v>
      </c>
      <c r="V76" s="59">
        <f t="shared" si="14"/>
        <v>35.23933636378537</v>
      </c>
      <c r="W76" s="59">
        <v>4.34</v>
      </c>
      <c r="X76" s="59">
        <f t="shared" si="15"/>
        <v>52.371795268036486</v>
      </c>
      <c r="Y76" s="59">
        <v>4.34</v>
      </c>
      <c r="Z76" s="59">
        <f t="shared" si="16"/>
        <v>104.74359053607294</v>
      </c>
    </row>
    <row r="77" spans="1:26" ht="23">
      <c r="A77" s="59">
        <v>2.7</v>
      </c>
      <c r="B77" s="59">
        <f t="shared" si="10"/>
        <v>26.950278323124589</v>
      </c>
      <c r="C77" s="59">
        <v>2.7</v>
      </c>
      <c r="D77" s="59">
        <f t="shared" si="11"/>
        <v>78.782305900670323</v>
      </c>
      <c r="E77" s="59">
        <v>2.7</v>
      </c>
      <c r="F77" s="59">
        <f t="shared" si="12"/>
        <v>25.952576043537618</v>
      </c>
      <c r="H77" s="44" t="s">
        <v>315</v>
      </c>
      <c r="I77" s="57">
        <v>1.5</v>
      </c>
      <c r="J77" s="57">
        <v>12</v>
      </c>
      <c r="K77"/>
      <c r="S77" s="59">
        <v>4.4000000000000004</v>
      </c>
      <c r="T77" s="59">
        <f t="shared" si="13"/>
        <v>17.861795305533871</v>
      </c>
      <c r="U77" s="59">
        <v>4.4000000000000004</v>
      </c>
      <c r="V77" s="59">
        <f t="shared" si="14"/>
        <v>35.723590611067763</v>
      </c>
      <c r="W77" s="59">
        <v>4.4000000000000004</v>
      </c>
      <c r="X77" s="59">
        <f t="shared" si="15"/>
        <v>53.145699956110626</v>
      </c>
      <c r="Y77" s="59">
        <v>4.4000000000000004</v>
      </c>
      <c r="Z77" s="59">
        <f t="shared" si="16"/>
        <v>106.29139991222137</v>
      </c>
    </row>
    <row r="78" spans="1:26">
      <c r="A78" s="59">
        <v>2.8</v>
      </c>
      <c r="B78" s="59">
        <f t="shared" si="10"/>
        <v>27.969187720121617</v>
      </c>
      <c r="C78" s="59">
        <v>2.8</v>
      </c>
      <c r="D78" s="59">
        <f t="shared" si="11"/>
        <v>82.197461378066876</v>
      </c>
      <c r="E78" s="59">
        <v>2.8</v>
      </c>
      <c r="F78" s="59">
        <f t="shared" si="12"/>
        <v>26.835557178692351</v>
      </c>
      <c r="H78" s="44" t="s">
        <v>317</v>
      </c>
      <c r="I78" s="57">
        <v>2</v>
      </c>
      <c r="J78" s="57">
        <v>10.3</v>
      </c>
      <c r="K78"/>
      <c r="S78" s="59">
        <v>4.46</v>
      </c>
      <c r="T78" s="59">
        <f t="shared" si="13"/>
        <v>18.103902737116172</v>
      </c>
      <c r="U78" s="59">
        <v>4.46</v>
      </c>
      <c r="V78" s="59">
        <f t="shared" si="14"/>
        <v>36.207805474232366</v>
      </c>
      <c r="W78" s="59">
        <v>4.46</v>
      </c>
      <c r="X78" s="59">
        <f t="shared" si="15"/>
        <v>53.92032659176791</v>
      </c>
      <c r="Y78" s="59">
        <v>4.46</v>
      </c>
      <c r="Z78" s="59">
        <f t="shared" si="16"/>
        <v>107.84065318353589</v>
      </c>
    </row>
    <row r="79" spans="1:26" ht="23">
      <c r="A79" s="59">
        <v>2.9</v>
      </c>
      <c r="B79" s="59">
        <f t="shared" ref="B79:B108" si="17">10^(B$44^-1*(A$44+LOG((0.03*2000)^B$44/A79)))</f>
        <v>28.988840189618301</v>
      </c>
      <c r="C79" s="59">
        <v>2.9</v>
      </c>
      <c r="D79" s="59">
        <f t="shared" ref="D79:D108" si="18">10^(D$44^-1*(C$44+LOG((0.03*2000)^D$44/C79)))</f>
        <v>85.633033636179348</v>
      </c>
      <c r="E79" s="59">
        <v>2.9</v>
      </c>
      <c r="F79" s="59">
        <f t="shared" ref="F79:F108" si="19">10^(F$44^-1*(E$44+LOG((0.03*2000)^F$44/E79)))</f>
        <v>27.716017397317589</v>
      </c>
      <c r="H79" s="44" t="s">
        <v>318</v>
      </c>
      <c r="I79" s="57">
        <v>1.5</v>
      </c>
      <c r="J79" s="57">
        <v>5.8</v>
      </c>
      <c r="K79"/>
      <c r="S79" s="59">
        <v>4.5199999999999996</v>
      </c>
      <c r="T79" s="59">
        <f t="shared" si="13"/>
        <v>18.345990743140678</v>
      </c>
      <c r="U79" s="59">
        <v>4.5199999999999996</v>
      </c>
      <c r="V79" s="59">
        <f t="shared" si="14"/>
        <v>36.691981486281357</v>
      </c>
      <c r="W79" s="59">
        <v>4.5199999999999996</v>
      </c>
      <c r="X79" s="59">
        <f t="shared" si="15"/>
        <v>54.695666122084923</v>
      </c>
      <c r="Y79" s="59">
        <v>4.5199999999999996</v>
      </c>
      <c r="Z79" s="59">
        <f t="shared" si="16"/>
        <v>109.39133224416986</v>
      </c>
    </row>
    <row r="80" spans="1:26" ht="23">
      <c r="A80" s="59">
        <v>3</v>
      </c>
      <c r="B80" s="59">
        <f t="shared" si="17"/>
        <v>30.009210612372037</v>
      </c>
      <c r="C80" s="59">
        <v>3</v>
      </c>
      <c r="D80" s="59">
        <f t="shared" si="18"/>
        <v>89.088434193973214</v>
      </c>
      <c r="E80" s="59">
        <v>3</v>
      </c>
      <c r="F80" s="59">
        <f t="shared" si="19"/>
        <v>28.594050493383648</v>
      </c>
      <c r="H80" s="44" t="s">
        <v>320</v>
      </c>
      <c r="I80" s="57">
        <v>1</v>
      </c>
      <c r="J80" s="57">
        <v>8.9</v>
      </c>
      <c r="K80"/>
      <c r="S80" s="59">
        <v>4.58</v>
      </c>
      <c r="T80" s="59">
        <f t="shared" si="13"/>
        <v>18.588059583011805</v>
      </c>
      <c r="U80" s="59">
        <v>4.58</v>
      </c>
      <c r="V80" s="59">
        <f t="shared" si="14"/>
        <v>37.176119166023618</v>
      </c>
      <c r="W80" s="59">
        <v>4.58</v>
      </c>
      <c r="X80" s="59">
        <f t="shared" si="15"/>
        <v>55.471709726390806</v>
      </c>
      <c r="Y80" s="59">
        <v>4.58</v>
      </c>
      <c r="Z80" s="59">
        <f t="shared" si="16"/>
        <v>110.94341945278153</v>
      </c>
    </row>
    <row r="81" spans="1:26" ht="34.5">
      <c r="A81" s="59">
        <v>3.1</v>
      </c>
      <c r="B81" s="59">
        <f t="shared" si="17"/>
        <v>31.030275528190657</v>
      </c>
      <c r="C81" s="59">
        <v>3.1</v>
      </c>
      <c r="D81" s="59">
        <f t="shared" si="18"/>
        <v>92.563110650910389</v>
      </c>
      <c r="E81" s="59">
        <v>3.1</v>
      </c>
      <c r="F81" s="59">
        <f t="shared" si="19"/>
        <v>29.469743762680181</v>
      </c>
      <c r="H81" s="44" t="s">
        <v>322</v>
      </c>
      <c r="I81" s="57">
        <v>1.6</v>
      </c>
      <c r="J81" s="57">
        <v>10.3</v>
      </c>
      <c r="K81"/>
      <c r="S81" s="59">
        <v>4.6399999999999997</v>
      </c>
      <c r="T81" s="59">
        <f t="shared" si="13"/>
        <v>18.830109509316731</v>
      </c>
      <c r="U81" s="59">
        <v>4.6399999999999997</v>
      </c>
      <c r="V81" s="59">
        <f t="shared" si="14"/>
        <v>37.660219018633434</v>
      </c>
      <c r="W81" s="59">
        <v>4.6399999999999997</v>
      </c>
      <c r="X81" s="59">
        <f t="shared" si="15"/>
        <v>56.248448807342506</v>
      </c>
      <c r="Y81" s="59">
        <v>4.6399999999999997</v>
      </c>
      <c r="Z81" s="59">
        <f t="shared" si="16"/>
        <v>112.49689761468511</v>
      </c>
    </row>
    <row r="82" spans="1:26" ht="23">
      <c r="A82" s="59">
        <v>3.2</v>
      </c>
      <c r="B82" s="59">
        <f t="shared" si="17"/>
        <v>32.052012976301555</v>
      </c>
      <c r="C82" s="59">
        <v>3.2</v>
      </c>
      <c r="D82" s="59">
        <f t="shared" si="18"/>
        <v>96.056543378081798</v>
      </c>
      <c r="E82" s="59">
        <v>3.2</v>
      </c>
      <c r="F82" s="59">
        <f t="shared" si="19"/>
        <v>30.343178648078002</v>
      </c>
      <c r="H82" s="44" t="s">
        <v>324</v>
      </c>
      <c r="I82" s="57">
        <v>1</v>
      </c>
      <c r="J82" s="57">
        <v>9.6</v>
      </c>
      <c r="K82"/>
      <c r="S82" s="59">
        <v>4.7</v>
      </c>
      <c r="T82" s="59">
        <f t="shared" si="13"/>
        <v>19.072140768090406</v>
      </c>
      <c r="U82" s="59">
        <v>4.7</v>
      </c>
      <c r="V82" s="59">
        <f t="shared" si="14"/>
        <v>38.14428153618082</v>
      </c>
      <c r="W82" s="59">
        <v>4.7</v>
      </c>
      <c r="X82" s="59">
        <f t="shared" si="15"/>
        <v>57.025874982453836</v>
      </c>
      <c r="Y82" s="59">
        <v>4.7</v>
      </c>
      <c r="Z82" s="59">
        <f t="shared" si="16"/>
        <v>114.05174996490767</v>
      </c>
    </row>
    <row r="83" spans="1:26" ht="23">
      <c r="A83" s="59">
        <v>3.3</v>
      </c>
      <c r="B83" s="59">
        <f t="shared" si="17"/>
        <v>33.074402355596675</v>
      </c>
      <c r="C83" s="59">
        <v>3.3</v>
      </c>
      <c r="D83" s="59">
        <f t="shared" si="18"/>
        <v>99.568242607093978</v>
      </c>
      <c r="E83" s="59">
        <v>3.3</v>
      </c>
      <c r="F83" s="59">
        <f t="shared" si="19"/>
        <v>31.214431302552516</v>
      </c>
      <c r="H83" s="44" t="s">
        <v>326</v>
      </c>
      <c r="I83" s="57">
        <v>1.5</v>
      </c>
      <c r="J83" s="57">
        <v>12.1</v>
      </c>
      <c r="K83"/>
      <c r="S83" s="59">
        <v>4.76</v>
      </c>
      <c r="T83" s="59">
        <f t="shared" si="13"/>
        <v>19.314153599067062</v>
      </c>
      <c r="U83" s="59">
        <v>4.76</v>
      </c>
      <c r="V83" s="59">
        <f t="shared" si="14"/>
        <v>38.628307198134124</v>
      </c>
      <c r="W83" s="59">
        <v>4.76</v>
      </c>
      <c r="X83" s="59">
        <f t="shared" si="15"/>
        <v>57.803980076050294</v>
      </c>
      <c r="Y83" s="59">
        <v>4.76</v>
      </c>
      <c r="Z83" s="59">
        <f t="shared" si="16"/>
        <v>115.60796015210049</v>
      </c>
    </row>
    <row r="84" spans="1:26">
      <c r="A84" s="59">
        <v>3.4</v>
      </c>
      <c r="B84" s="59">
        <f t="shared" si="17"/>
        <v>34.097424301750166</v>
      </c>
      <c r="C84" s="59">
        <v>3.4</v>
      </c>
      <c r="D84" s="59">
        <f t="shared" si="18"/>
        <v>103.09774585824641</v>
      </c>
      <c r="E84" s="59">
        <v>3.4</v>
      </c>
      <c r="F84" s="59">
        <f t="shared" si="19"/>
        <v>32.083573082625016</v>
      </c>
      <c r="H84" s="44" t="s">
        <v>328</v>
      </c>
      <c r="I84" s="57">
        <v>1.8</v>
      </c>
      <c r="J84" s="57">
        <v>7.4</v>
      </c>
      <c r="K84"/>
      <c r="S84" s="59">
        <v>4.82</v>
      </c>
      <c r="T84" s="59">
        <f t="shared" si="13"/>
        <v>19.556148235918918</v>
      </c>
      <c r="U84" s="59">
        <v>4.82</v>
      </c>
      <c r="V84" s="59">
        <f t="shared" si="14"/>
        <v>39.112296471837858</v>
      </c>
      <c r="W84" s="59">
        <v>4.82</v>
      </c>
      <c r="X84" s="59">
        <f t="shared" si="15"/>
        <v>58.582756111621961</v>
      </c>
      <c r="Y84" s="59">
        <v>4.82</v>
      </c>
      <c r="Z84" s="59">
        <f t="shared" si="16"/>
        <v>117.16551222324392</v>
      </c>
    </row>
    <row r="85" spans="1:26">
      <c r="A85" s="59">
        <v>3.5</v>
      </c>
      <c r="B85" s="59">
        <f t="shared" si="17"/>
        <v>35.121060578734578</v>
      </c>
      <c r="C85" s="59">
        <v>3.5</v>
      </c>
      <c r="D85" s="59">
        <f t="shared" si="18"/>
        <v>106.64461565960197</v>
      </c>
      <c r="E85" s="59">
        <v>3.5</v>
      </c>
      <c r="F85" s="59">
        <f t="shared" si="19"/>
        <v>32.950670982616195</v>
      </c>
      <c r="H85" s="44" t="s">
        <v>172</v>
      </c>
      <c r="I85" s="57">
        <v>1.7</v>
      </c>
      <c r="J85" s="57">
        <v>12</v>
      </c>
      <c r="K85"/>
      <c r="S85" s="59">
        <v>4.88</v>
      </c>
      <c r="T85" s="59">
        <f t="shared" si="13"/>
        <v>19.798124906483046</v>
      </c>
      <c r="U85" s="59">
        <v>4.88</v>
      </c>
      <c r="V85" s="59">
        <f t="shared" si="14"/>
        <v>39.596249812966064</v>
      </c>
      <c r="W85" s="59">
        <v>4.88</v>
      </c>
      <c r="X85" s="59">
        <f t="shared" si="15"/>
        <v>59.362195304552323</v>
      </c>
      <c r="Y85" s="59">
        <v>4.88</v>
      </c>
      <c r="Z85" s="59">
        <f t="shared" si="16"/>
        <v>118.72439060910466</v>
      </c>
    </row>
    <row r="86" spans="1:26">
      <c r="A86" s="59">
        <v>3.6</v>
      </c>
      <c r="B86" s="59">
        <f t="shared" si="17"/>
        <v>36.14529398268423</v>
      </c>
      <c r="C86" s="59">
        <v>3.6</v>
      </c>
      <c r="D86" s="59">
        <f t="shared" si="18"/>
        <v>110.20843751664722</v>
      </c>
      <c r="E86" s="59">
        <v>3.6</v>
      </c>
      <c r="F86" s="59">
        <f t="shared" si="19"/>
        <v>33.815788018299401</v>
      </c>
      <c r="H86" s="44" t="s">
        <v>174</v>
      </c>
      <c r="I86" s="57">
        <v>7.7</v>
      </c>
      <c r="J86" s="57">
        <v>5.2</v>
      </c>
      <c r="K86"/>
      <c r="S86" s="59">
        <v>4.9400000000000004</v>
      </c>
      <c r="T86" s="59">
        <f t="shared" si="13"/>
        <v>20.040083832976983</v>
      </c>
      <c r="U86" s="59">
        <v>4.9400000000000004</v>
      </c>
      <c r="V86" s="59">
        <f t="shared" si="14"/>
        <v>40.080167665953986</v>
      </c>
      <c r="W86" s="59">
        <v>4.9400000000000004</v>
      </c>
      <c r="X86" s="59">
        <f t="shared" si="15"/>
        <v>60.14229005519713</v>
      </c>
      <c r="Y86" s="59">
        <v>4.9400000000000004</v>
      </c>
      <c r="Z86" s="59">
        <f t="shared" si="16"/>
        <v>120.28458011039426</v>
      </c>
    </row>
    <row r="87" spans="1:26">
      <c r="A87" s="59">
        <v>3.7</v>
      </c>
      <c r="B87" s="59">
        <f t="shared" si="17"/>
        <v>37.170108256396617</v>
      </c>
      <c r="C87" s="59">
        <v>3.7</v>
      </c>
      <c r="D87" s="59">
        <f t="shared" si="18"/>
        <v>113.78881809879458</v>
      </c>
      <c r="E87" s="59">
        <v>3.7</v>
      </c>
      <c r="F87" s="59">
        <f t="shared" si="19"/>
        <v>34.67898356709258</v>
      </c>
      <c r="H87" s="44" t="s">
        <v>329</v>
      </c>
      <c r="I87" s="57">
        <v>6.9</v>
      </c>
      <c r="J87" s="57">
        <v>6.4</v>
      </c>
      <c r="K87"/>
      <c r="S87" s="59">
        <v>5</v>
      </c>
      <c r="T87" s="59">
        <f t="shared" si="13"/>
        <v>20.28202523220402</v>
      </c>
      <c r="U87" s="59">
        <v>5</v>
      </c>
      <c r="V87" s="59">
        <f t="shared" si="14"/>
        <v>40.564050464408062</v>
      </c>
      <c r="W87" s="59">
        <v>5</v>
      </c>
      <c r="X87" s="59">
        <f t="shared" si="15"/>
        <v>60.923032942295414</v>
      </c>
      <c r="Y87" s="59">
        <v>5</v>
      </c>
      <c r="Z87" s="59">
        <f t="shared" si="16"/>
        <v>121.84606588459083</v>
      </c>
    </row>
    <row r="88" spans="1:26">
      <c r="A88" s="59">
        <v>3.8</v>
      </c>
      <c r="B88" s="59">
        <f t="shared" si="17"/>
        <v>38.195488013038023</v>
      </c>
      <c r="C88" s="59">
        <v>3.8</v>
      </c>
      <c r="D88" s="59">
        <f t="shared" si="18"/>
        <v>117.38538361430996</v>
      </c>
      <c r="E88" s="59">
        <v>3.8</v>
      </c>
      <c r="F88" s="59">
        <f t="shared" si="19"/>
        <v>35.540313670753541</v>
      </c>
      <c r="H88" s="44" t="s">
        <v>176</v>
      </c>
      <c r="I88" s="57">
        <v>1.6</v>
      </c>
      <c r="J88" s="57">
        <v>9</v>
      </c>
      <c r="K88"/>
      <c r="S88" s="59">
        <v>5.0599999999999996</v>
      </c>
      <c r="T88" s="59">
        <f t="shared" si="13"/>
        <v>20.523949315748485</v>
      </c>
      <c r="U88" s="59">
        <v>5.0599999999999996</v>
      </c>
      <c r="V88" s="59">
        <f t="shared" si="14"/>
        <v>41.047898631496942</v>
      </c>
      <c r="W88" s="59">
        <v>5.0599999999999996</v>
      </c>
      <c r="X88" s="59">
        <f t="shared" si="15"/>
        <v>61.704416716690041</v>
      </c>
      <c r="Y88" s="59">
        <v>5.0599999999999996</v>
      </c>
      <c r="Z88" s="59">
        <f t="shared" si="16"/>
        <v>123.40883343337998</v>
      </c>
    </row>
    <row r="89" spans="1:26" ht="23">
      <c r="A89" s="59">
        <v>3.9</v>
      </c>
      <c r="B89" s="59">
        <f t="shared" si="17"/>
        <v>39.221418667846201</v>
      </c>
      <c r="C89" s="59">
        <v>3.9</v>
      </c>
      <c r="D89" s="59">
        <f t="shared" si="18"/>
        <v>120.99777834963197</v>
      </c>
      <c r="E89" s="59">
        <v>3.9</v>
      </c>
      <c r="F89" s="59">
        <f t="shared" si="19"/>
        <v>36.399831305590098</v>
      </c>
      <c r="H89" s="44" t="s">
        <v>331</v>
      </c>
      <c r="I89" s="57">
        <v>1.3</v>
      </c>
      <c r="J89" s="57">
        <v>14.3</v>
      </c>
      <c r="S89" s="59">
        <v>5.12</v>
      </c>
      <c r="T89" s="59">
        <f t="shared" si="13"/>
        <v>20.765856290161651</v>
      </c>
      <c r="U89" s="59">
        <v>5.12</v>
      </c>
      <c r="V89" s="59">
        <f t="shared" si="14"/>
        <v>41.531712580323322</v>
      </c>
      <c r="W89" s="59">
        <v>5.12</v>
      </c>
      <c r="X89" s="59">
        <f t="shared" si="15"/>
        <v>62.486434295342832</v>
      </c>
      <c r="Y89" s="59">
        <v>5.12</v>
      </c>
      <c r="Z89" s="59">
        <f t="shared" si="16"/>
        <v>124.97286859068579</v>
      </c>
    </row>
    <row r="90" spans="1:26">
      <c r="A90" s="59">
        <v>4</v>
      </c>
      <c r="B90" s="59">
        <f t="shared" si="17"/>
        <v>40.247886376808189</v>
      </c>
      <c r="C90" s="59">
        <v>4</v>
      </c>
      <c r="D90" s="59">
        <f t="shared" si="18"/>
        <v>124.62566335264984</v>
      </c>
      <c r="E90" s="59">
        <v>4</v>
      </c>
      <c r="F90" s="59">
        <f t="shared" si="19"/>
        <v>37.257586624414628</v>
      </c>
      <c r="H90" s="44" t="s">
        <v>178</v>
      </c>
      <c r="I90" s="57">
        <v>2</v>
      </c>
      <c r="J90" s="57">
        <v>10.8</v>
      </c>
      <c r="S90" s="59">
        <v>5.18</v>
      </c>
      <c r="T90" s="59">
        <f t="shared" si="13"/>
        <v>21.007746357139229</v>
      </c>
      <c r="U90" s="59">
        <v>5.18</v>
      </c>
      <c r="V90" s="59">
        <f t="shared" si="14"/>
        <v>42.015492714278444</v>
      </c>
      <c r="W90" s="59">
        <v>5.18</v>
      </c>
      <c r="X90" s="59">
        <f t="shared" si="15"/>
        <v>63.269078755624328</v>
      </c>
      <c r="Y90" s="59">
        <v>5.18</v>
      </c>
      <c r="Z90" s="59">
        <f t="shared" si="16"/>
        <v>126.53815751124867</v>
      </c>
    </row>
    <row r="91" spans="1:26">
      <c r="A91" s="59">
        <v>4.0999999999999996</v>
      </c>
      <c r="B91" s="59">
        <f t="shared" si="17"/>
        <v>41.274877981443851</v>
      </c>
      <c r="C91" s="59">
        <v>4.0999999999999996</v>
      </c>
      <c r="D91" s="59">
        <f t="shared" si="18"/>
        <v>128.2687152424979</v>
      </c>
      <c r="E91" s="59">
        <v>4.0999999999999996</v>
      </c>
      <c r="F91" s="59">
        <f t="shared" si="19"/>
        <v>38.11362717383075</v>
      </c>
      <c r="H91" s="44" t="s">
        <v>410</v>
      </c>
      <c r="I91" s="57">
        <v>2.5</v>
      </c>
      <c r="J91" s="57">
        <v>13</v>
      </c>
      <c r="S91" s="59">
        <v>5.24</v>
      </c>
      <c r="T91" s="59">
        <f t="shared" si="13"/>
        <v>21.249619713690333</v>
      </c>
      <c r="U91" s="59">
        <v>5.24</v>
      </c>
      <c r="V91" s="59">
        <f t="shared" si="14"/>
        <v>42.499239427380644</v>
      </c>
      <c r="W91" s="59">
        <v>5.24</v>
      </c>
      <c r="X91" s="59">
        <f t="shared" si="15"/>
        <v>64.052343329863888</v>
      </c>
      <c r="Y91" s="59">
        <v>5.24</v>
      </c>
      <c r="Z91" s="59">
        <f t="shared" si="16"/>
        <v>128.10468665972766</v>
      </c>
    </row>
    <row r="92" spans="1:26">
      <c r="A92" s="59">
        <v>4.2</v>
      </c>
      <c r="B92" s="59">
        <f t="shared" si="17"/>
        <v>42.302380958953201</v>
      </c>
      <c r="C92" s="59">
        <v>4.2</v>
      </c>
      <c r="D92" s="59">
        <f t="shared" si="18"/>
        <v>131.92662513091048</v>
      </c>
      <c r="E92" s="59">
        <v>4.2</v>
      </c>
      <c r="F92" s="59">
        <f t="shared" si="19"/>
        <v>38.967998089906963</v>
      </c>
      <c r="H92" s="44" t="s">
        <v>219</v>
      </c>
      <c r="I92" s="57">
        <v>4</v>
      </c>
      <c r="J92" s="57">
        <v>3.4</v>
      </c>
      <c r="S92" s="59">
        <v>5.3</v>
      </c>
      <c r="T92" s="59">
        <f t="shared" si="13"/>
        <v>21.491476552298785</v>
      </c>
      <c r="U92" s="59">
        <v>5.3</v>
      </c>
      <c r="V92" s="59">
        <f t="shared" si="14"/>
        <v>42.982953104597534</v>
      </c>
      <c r="W92" s="59">
        <v>5.3</v>
      </c>
      <c r="X92" s="59">
        <f t="shared" si="15"/>
        <v>64.836221400145803</v>
      </c>
      <c r="Y92" s="59">
        <v>5.3</v>
      </c>
      <c r="Z92" s="59">
        <f t="shared" si="16"/>
        <v>129.67244280029163</v>
      </c>
    </row>
    <row r="93" spans="1:26" ht="23">
      <c r="A93" s="59">
        <v>4.3</v>
      </c>
      <c r="B93" s="59">
        <f t="shared" si="17"/>
        <v>43.330383377090655</v>
      </c>
      <c r="C93" s="59">
        <v>4.3</v>
      </c>
      <c r="D93" s="59">
        <f t="shared" si="18"/>
        <v>135.5990976422687</v>
      </c>
      <c r="E93" s="59">
        <v>4.3</v>
      </c>
      <c r="F93" s="59">
        <f t="shared" si="19"/>
        <v>39.820742274851042</v>
      </c>
      <c r="H93" s="44" t="s">
        <v>332</v>
      </c>
      <c r="I93" s="57">
        <v>2.1</v>
      </c>
      <c r="J93" s="57">
        <v>14.9</v>
      </c>
      <c r="S93" s="59">
        <v>5.36</v>
      </c>
      <c r="T93" s="59">
        <f t="shared" si="13"/>
        <v>21.73331706107718</v>
      </c>
      <c r="U93" s="59">
        <v>5.36</v>
      </c>
      <c r="V93" s="59">
        <f t="shared" si="14"/>
        <v>43.466634122154325</v>
      </c>
      <c r="W93" s="59">
        <v>5.36</v>
      </c>
      <c r="X93" s="59">
        <f t="shared" si="15"/>
        <v>65.620706493336925</v>
      </c>
      <c r="Y93" s="59">
        <v>5.36</v>
      </c>
      <c r="Z93" s="59">
        <f t="shared" si="16"/>
        <v>131.24141298667388</v>
      </c>
    </row>
    <row r="94" spans="1:26" ht="23">
      <c r="A94" s="59">
        <v>4.4000000000000004</v>
      </c>
      <c r="B94" s="59">
        <f t="shared" si="17"/>
        <v>44.358873853218995</v>
      </c>
      <c r="C94" s="59">
        <v>4.4000000000000004</v>
      </c>
      <c r="D94" s="59">
        <f t="shared" si="18"/>
        <v>139.28585002121551</v>
      </c>
      <c r="E94" s="59">
        <v>4.4000000000000004</v>
      </c>
      <c r="F94" s="59">
        <f t="shared" si="19"/>
        <v>40.671900556928428</v>
      </c>
      <c r="H94" s="44" t="s">
        <v>334</v>
      </c>
      <c r="I94" s="57">
        <v>1</v>
      </c>
      <c r="J94" s="57">
        <v>22.7</v>
      </c>
      <c r="S94" s="59">
        <v>5.42</v>
      </c>
      <c r="T94" s="59">
        <f t="shared" si="13"/>
        <v>21.975141423913975</v>
      </c>
      <c r="U94" s="59">
        <v>5.42</v>
      </c>
      <c r="V94" s="59">
        <f t="shared" si="14"/>
        <v>43.950282847827914</v>
      </c>
      <c r="W94" s="59">
        <v>5.42</v>
      </c>
      <c r="X94" s="59">
        <f t="shared" si="15"/>
        <v>66.405792276332846</v>
      </c>
      <c r="Y94" s="59">
        <v>5.42</v>
      </c>
      <c r="Z94" s="59">
        <f t="shared" si="16"/>
        <v>132.81158455266569</v>
      </c>
    </row>
    <row r="95" spans="1:26">
      <c r="A95" s="59">
        <v>4.5</v>
      </c>
      <c r="B95" s="59">
        <f t="shared" si="17"/>
        <v>45.387841517068637</v>
      </c>
      <c r="C95" s="59">
        <v>4.5</v>
      </c>
      <c r="D95" s="59">
        <f t="shared" si="18"/>
        <v>142.9866113181962</v>
      </c>
      <c r="E95" s="59">
        <v>4.5</v>
      </c>
      <c r="F95" s="59">
        <f t="shared" si="19"/>
        <v>41.52151183555835</v>
      </c>
      <c r="H95" s="44" t="s">
        <v>336</v>
      </c>
      <c r="I95" s="57">
        <v>1</v>
      </c>
      <c r="J95" s="57">
        <v>7.8</v>
      </c>
      <c r="S95" s="59">
        <v>5.48</v>
      </c>
      <c r="T95" s="59">
        <f t="shared" si="13"/>
        <v>22.216949820613966</v>
      </c>
      <c r="U95" s="59">
        <v>5.48</v>
      </c>
      <c r="V95" s="59">
        <f t="shared" si="14"/>
        <v>44.433899641227974</v>
      </c>
      <c r="W95" s="59">
        <v>5.48</v>
      </c>
      <c r="X95" s="59">
        <f t="shared" si="15"/>
        <v>67.191472551511595</v>
      </c>
      <c r="Y95" s="59">
        <v>5.48</v>
      </c>
      <c r="Z95" s="59">
        <f t="shared" si="16"/>
        <v>134.38294510302308</v>
      </c>
    </row>
    <row r="96" spans="1:26">
      <c r="A96" s="59">
        <v>4.5999999999999996</v>
      </c>
      <c r="B96" s="59">
        <f t="shared" si="17"/>
        <v>46.417275976793157</v>
      </c>
      <c r="C96" s="59">
        <v>4.5999999999999996</v>
      </c>
      <c r="D96" s="59">
        <f t="shared" si="18"/>
        <v>146.70112164453724</v>
      </c>
      <c r="E96" s="59">
        <v>4.5999999999999996</v>
      </c>
      <c r="F96" s="59">
        <f t="shared" si="19"/>
        <v>42.369613213261424</v>
      </c>
      <c r="H96" s="44" t="s">
        <v>338</v>
      </c>
      <c r="I96" s="57">
        <v>1</v>
      </c>
      <c r="J96" s="57">
        <v>15.6</v>
      </c>
      <c r="S96" s="59">
        <v>5.54</v>
      </c>
      <c r="T96" s="59">
        <f t="shared" si="13"/>
        <v>22.458742427032856</v>
      </c>
      <c r="U96" s="59">
        <v>5.54</v>
      </c>
      <c r="V96" s="59">
        <f t="shared" si="14"/>
        <v>44.917484854065677</v>
      </c>
      <c r="W96" s="59">
        <v>5.54</v>
      </c>
      <c r="X96" s="59">
        <f t="shared" si="15"/>
        <v>67.977741252382827</v>
      </c>
      <c r="Y96" s="59">
        <v>5.54</v>
      </c>
      <c r="Z96" s="59">
        <f t="shared" si="16"/>
        <v>135.95548250476565</v>
      </c>
    </row>
    <row r="97" spans="1:26">
      <c r="A97" s="59">
        <v>4.7</v>
      </c>
      <c r="B97" s="59">
        <f t="shared" si="17"/>
        <v>47.44716728796287</v>
      </c>
      <c r="C97" s="59">
        <v>4.7</v>
      </c>
      <c r="D97" s="59">
        <f t="shared" si="18"/>
        <v>150.42913148973776</v>
      </c>
      <c r="E97" s="59">
        <v>4.7</v>
      </c>
      <c r="F97" s="59">
        <f t="shared" si="19"/>
        <v>43.216240115908555</v>
      </c>
      <c r="H97" s="44" t="s">
        <v>277</v>
      </c>
      <c r="I97" s="57">
        <v>4</v>
      </c>
      <c r="J97" s="57">
        <v>9.1</v>
      </c>
      <c r="S97" s="59">
        <v>5.6</v>
      </c>
      <c r="T97" s="59">
        <f t="shared" si="13"/>
        <v>22.700519415205672</v>
      </c>
      <c r="U97" s="59">
        <v>5.6</v>
      </c>
      <c r="V97" s="59">
        <f t="shared" si="14"/>
        <v>45.401038830411309</v>
      </c>
      <c r="W97" s="59">
        <v>5.6</v>
      </c>
      <c r="X97" s="59">
        <f t="shared" si="15"/>
        <v>68.764592439422515</v>
      </c>
      <c r="Y97" s="59">
        <v>5.6</v>
      </c>
      <c r="Z97" s="59">
        <f t="shared" si="16"/>
        <v>137.52918487884492</v>
      </c>
    </row>
    <row r="98" spans="1:26">
      <c r="A98" s="59">
        <v>4.8</v>
      </c>
      <c r="B98" s="59">
        <f t="shared" si="17"/>
        <v>48.477505925185447</v>
      </c>
      <c r="C98" s="59">
        <v>4.8</v>
      </c>
      <c r="D98" s="59">
        <f t="shared" si="18"/>
        <v>154.17040109456065</v>
      </c>
      <c r="E98" s="59">
        <v>4.8</v>
      </c>
      <c r="F98" s="59">
        <f t="shared" si="19"/>
        <v>44.061426402536348</v>
      </c>
      <c r="H98" s="44" t="s">
        <v>412</v>
      </c>
      <c r="I98" s="57">
        <v>1.1000000000000001</v>
      </c>
      <c r="J98" s="57">
        <v>6.9</v>
      </c>
      <c r="S98" s="59">
        <v>5.66</v>
      </c>
      <c r="T98" s="59">
        <f t="shared" si="13"/>
        <v>22.942280953469879</v>
      </c>
      <c r="U98" s="59">
        <v>5.66</v>
      </c>
      <c r="V98" s="59">
        <f t="shared" si="14"/>
        <v>45.884561906939766</v>
      </c>
      <c r="W98" s="59">
        <v>5.66</v>
      </c>
      <c r="X98" s="59">
        <f t="shared" si="15"/>
        <v>69.552020296082972</v>
      </c>
      <c r="Y98" s="59">
        <v>5.66</v>
      </c>
      <c r="Z98" s="59">
        <f t="shared" si="16"/>
        <v>139.10404059216594</v>
      </c>
    </row>
    <row r="99" spans="1:26">
      <c r="A99" s="59">
        <v>4.9000000000000004</v>
      </c>
      <c r="B99" s="59">
        <f t="shared" si="17"/>
        <v>49.508282756081073</v>
      </c>
      <c r="C99" s="59">
        <v>4.9000000000000004</v>
      </c>
      <c r="D99" s="59">
        <f t="shared" si="18"/>
        <v>157.92469987429749</v>
      </c>
      <c r="E99" s="59">
        <v>4.9000000000000004</v>
      </c>
      <c r="F99" s="59">
        <f t="shared" si="19"/>
        <v>44.90520446583281</v>
      </c>
      <c r="H99" s="44" t="s">
        <v>279</v>
      </c>
      <c r="I99" s="57">
        <v>7</v>
      </c>
      <c r="J99" s="57" t="s">
        <v>1</v>
      </c>
      <c r="S99" s="59">
        <v>5.72</v>
      </c>
      <c r="T99" s="59">
        <f t="shared" si="13"/>
        <v>23.184027206583288</v>
      </c>
      <c r="U99" s="59">
        <v>5.72</v>
      </c>
      <c r="V99" s="59">
        <f t="shared" si="14"/>
        <v>46.36805441316654</v>
      </c>
      <c r="W99" s="59">
        <v>5.72</v>
      </c>
      <c r="X99" s="59">
        <f t="shared" si="15"/>
        <v>70.340019124969814</v>
      </c>
      <c r="Y99" s="59">
        <v>5.72</v>
      </c>
      <c r="Z99" s="59">
        <f t="shared" si="16"/>
        <v>140.68003824993951</v>
      </c>
    </row>
    <row r="100" spans="1:26">
      <c r="A100" s="59">
        <v>5</v>
      </c>
      <c r="B100" s="59">
        <f t="shared" si="17"/>
        <v>50.539489017372112</v>
      </c>
      <c r="C100" s="59">
        <v>5</v>
      </c>
      <c r="D100" s="59">
        <f t="shared" si="18"/>
        <v>161.69180588723987</v>
      </c>
      <c r="E100" s="59">
        <v>5</v>
      </c>
      <c r="F100" s="59">
        <f t="shared" si="19"/>
        <v>45.747605324259197</v>
      </c>
      <c r="H100" s="44" t="s">
        <v>340</v>
      </c>
      <c r="I100" s="57">
        <v>3.9</v>
      </c>
      <c r="J100" s="57">
        <v>5.3</v>
      </c>
      <c r="S100" s="59">
        <v>5.78</v>
      </c>
      <c r="T100" s="59">
        <f t="shared" si="13"/>
        <v>23.425758335836765</v>
      </c>
      <c r="U100" s="59">
        <v>5.78</v>
      </c>
      <c r="V100" s="59">
        <f t="shared" si="14"/>
        <v>46.851516671673537</v>
      </c>
      <c r="W100" s="59">
        <v>5.78</v>
      </c>
      <c r="X100" s="59">
        <f t="shared" si="15"/>
        <v>71.12858334417578</v>
      </c>
      <c r="Y100" s="59">
        <v>5.78</v>
      </c>
      <c r="Z100" s="59">
        <f t="shared" si="16"/>
        <v>142.25716668835145</v>
      </c>
    </row>
    <row r="101" spans="1:26">
      <c r="A101" s="59">
        <v>5.0999999999999996</v>
      </c>
      <c r="B101" s="59">
        <f t="shared" si="17"/>
        <v>51.571116292877164</v>
      </c>
      <c r="C101" s="59">
        <v>5.0999999999999996</v>
      </c>
      <c r="D101" s="59">
        <f t="shared" si="18"/>
        <v>165.47150534398466</v>
      </c>
      <c r="E101" s="59">
        <v>5.0999999999999996</v>
      </c>
      <c r="F101" s="59">
        <f t="shared" si="19"/>
        <v>46.588658706658698</v>
      </c>
      <c r="H101" s="44" t="s">
        <v>221</v>
      </c>
      <c r="I101" s="57">
        <v>4.2</v>
      </c>
      <c r="J101" s="57" t="s">
        <v>1</v>
      </c>
      <c r="S101" s="59">
        <v>5.84</v>
      </c>
      <c r="T101" s="59">
        <f t="shared" si="13"/>
        <v>23.667474499162605</v>
      </c>
      <c r="U101" s="59">
        <v>5.84</v>
      </c>
      <c r="V101" s="59">
        <f t="shared" si="14"/>
        <v>47.334948998325174</v>
      </c>
      <c r="W101" s="59">
        <v>5.84</v>
      </c>
      <c r="X101" s="59">
        <f t="shared" si="15"/>
        <v>71.917707483764744</v>
      </c>
      <c r="Y101" s="59">
        <v>5.84</v>
      </c>
      <c r="Z101" s="59">
        <f t="shared" si="16"/>
        <v>143.83541496752952</v>
      </c>
    </row>
    <row r="102" spans="1:26">
      <c r="A102" s="59">
        <v>5.1999999999999904</v>
      </c>
      <c r="B102" s="59">
        <f t="shared" si="17"/>
        <v>52.603156493222947</v>
      </c>
      <c r="C102" s="59">
        <v>5.1999999999999904</v>
      </c>
      <c r="D102" s="59">
        <f t="shared" si="18"/>
        <v>169.26359215369243</v>
      </c>
      <c r="E102" s="59">
        <v>5.1999999999999904</v>
      </c>
      <c r="F102" s="59">
        <f t="shared" si="19"/>
        <v>47.428393130098975</v>
      </c>
      <c r="H102" s="44" t="s">
        <v>180</v>
      </c>
      <c r="I102" s="57">
        <v>1.7</v>
      </c>
      <c r="J102" s="57">
        <v>12</v>
      </c>
      <c r="S102" s="59">
        <v>5.9</v>
      </c>
      <c r="T102" s="59">
        <f t="shared" si="13"/>
        <v>23.909175851238103</v>
      </c>
      <c r="U102" s="59">
        <v>5.9</v>
      </c>
      <c r="V102" s="59">
        <f t="shared" si="14"/>
        <v>47.818351702476214</v>
      </c>
      <c r="W102" s="59">
        <v>5.9</v>
      </c>
      <c r="X102" s="59">
        <f t="shared" si="15"/>
        <v>72.707386182398309</v>
      </c>
      <c r="Y102" s="59">
        <v>5.9</v>
      </c>
      <c r="Z102" s="59">
        <f t="shared" si="16"/>
        <v>145.41477236479662</v>
      </c>
    </row>
    <row r="103" spans="1:26">
      <c r="A103" s="59">
        <v>5.2999999999999901</v>
      </c>
      <c r="B103" s="59">
        <f t="shared" si="17"/>
        <v>53.635601837110222</v>
      </c>
      <c r="C103" s="59">
        <v>5.2999999999999901</v>
      </c>
      <c r="D103" s="59">
        <f t="shared" si="18"/>
        <v>173.06786750385965</v>
      </c>
      <c r="E103" s="59">
        <v>5.2999999999999901</v>
      </c>
      <c r="F103" s="59">
        <f t="shared" si="19"/>
        <v>48.266835971610625</v>
      </c>
      <c r="H103" s="44" t="s">
        <v>342</v>
      </c>
      <c r="I103" s="57">
        <v>1.8</v>
      </c>
      <c r="J103" s="57">
        <v>9.9</v>
      </c>
      <c r="S103" s="59">
        <v>5.96</v>
      </c>
      <c r="T103" s="59">
        <f t="shared" si="13"/>
        <v>24.150862543585141</v>
      </c>
      <c r="U103" s="59">
        <v>5.96</v>
      </c>
      <c r="V103" s="59">
        <f t="shared" si="14"/>
        <v>48.301725087170311</v>
      </c>
      <c r="W103" s="59">
        <v>5.96</v>
      </c>
      <c r="X103" s="59">
        <f t="shared" si="15"/>
        <v>73.497614184096207</v>
      </c>
      <c r="Y103" s="59">
        <v>5.96</v>
      </c>
      <c r="Z103" s="59">
        <f t="shared" si="16"/>
        <v>146.9952283681923</v>
      </c>
    </row>
    <row r="104" spans="1:26">
      <c r="A104" s="59">
        <v>5.3999999999999897</v>
      </c>
      <c r="B104" s="59">
        <f t="shared" si="17"/>
        <v>54.668444833985873</v>
      </c>
      <c r="C104" s="59">
        <v>5.3999999999999897</v>
      </c>
      <c r="D104" s="59">
        <f t="shared" si="18"/>
        <v>176.88413947053689</v>
      </c>
      <c r="E104" s="59">
        <v>5.3999999999999897</v>
      </c>
      <c r="F104" s="59">
        <f t="shared" si="19"/>
        <v>49.104013534404181</v>
      </c>
      <c r="H104" s="44" t="s">
        <v>223</v>
      </c>
      <c r="I104" s="57">
        <v>1.5</v>
      </c>
      <c r="J104" s="57">
        <v>9.5</v>
      </c>
      <c r="S104" s="59">
        <v>6.02</v>
      </c>
      <c r="T104" s="59">
        <f t="shared" si="13"/>
        <v>24.392534724665698</v>
      </c>
      <c r="U104" s="59">
        <v>6.02</v>
      </c>
      <c r="V104" s="59">
        <f t="shared" si="14"/>
        <v>48.785069449331374</v>
      </c>
      <c r="W104" s="59">
        <v>6.02</v>
      </c>
      <c r="X104" s="59">
        <f t="shared" si="15"/>
        <v>74.288386335125765</v>
      </c>
      <c r="Y104" s="59">
        <v>6.02</v>
      </c>
      <c r="Z104" s="59">
        <f t="shared" si="16"/>
        <v>148.57677267025156</v>
      </c>
    </row>
    <row r="105" spans="1:26">
      <c r="A105" s="59">
        <v>5.4999999999999902</v>
      </c>
      <c r="B105" s="59">
        <f t="shared" si="17"/>
        <v>55.701678267994119</v>
      </c>
      <c r="C105" s="59">
        <v>5.4999999999999902</v>
      </c>
      <c r="D105" s="59">
        <f t="shared" si="18"/>
        <v>180.7122226562706</v>
      </c>
      <c r="E105" s="59">
        <v>5.4999999999999902</v>
      </c>
      <c r="F105" s="59">
        <f t="shared" si="19"/>
        <v>49.939951109087922</v>
      </c>
      <c r="H105" s="44" t="s">
        <v>225</v>
      </c>
      <c r="I105" s="57">
        <v>1.8</v>
      </c>
      <c r="J105" s="57">
        <v>16.100000000000001</v>
      </c>
      <c r="S105" s="59">
        <v>6.08</v>
      </c>
      <c r="T105" s="59">
        <f t="shared" si="13"/>
        <v>24.634192539973427</v>
      </c>
      <c r="U105" s="59">
        <v>6.08</v>
      </c>
      <c r="V105" s="59">
        <f t="shared" si="14"/>
        <v>49.268385079946839</v>
      </c>
      <c r="W105" s="59">
        <v>6.08</v>
      </c>
      <c r="X105" s="59">
        <f t="shared" si="15"/>
        <v>75.079697581013249</v>
      </c>
      <c r="Y105" s="59">
        <v>6.08</v>
      </c>
      <c r="Z105" s="59">
        <f t="shared" si="16"/>
        <v>150.15939516202653</v>
      </c>
    </row>
    <row r="106" spans="1:26">
      <c r="A106" s="59">
        <v>5.5999999999999899</v>
      </c>
      <c r="B106" s="59">
        <f t="shared" si="17"/>
        <v>56.735295183088503</v>
      </c>
      <c r="C106" s="59">
        <v>5.5999999999999899</v>
      </c>
      <c r="D106" s="59">
        <f t="shared" si="18"/>
        <v>184.55193785332361</v>
      </c>
      <c r="E106" s="59">
        <v>5.5999999999999899</v>
      </c>
      <c r="F106" s="59">
        <f t="shared" si="19"/>
        <v>50.774673030344985</v>
      </c>
      <c r="H106" s="44" t="s">
        <v>344</v>
      </c>
      <c r="I106" s="57">
        <v>3</v>
      </c>
      <c r="J106" s="57">
        <v>6.9</v>
      </c>
      <c r="S106" s="59">
        <v>6.14</v>
      </c>
      <c r="T106" s="59">
        <f t="shared" si="13"/>
        <v>24.875836132121833</v>
      </c>
      <c r="U106" s="59">
        <v>6.14</v>
      </c>
      <c r="V106" s="59">
        <f t="shared" si="14"/>
        <v>49.751672264243666</v>
      </c>
      <c r="W106" s="59">
        <v>6.14</v>
      </c>
      <c r="X106" s="59">
        <f t="shared" si="15"/>
        <v>75.871542963671004</v>
      </c>
      <c r="Y106" s="59">
        <v>6.14</v>
      </c>
      <c r="Z106" s="59">
        <f t="shared" si="16"/>
        <v>151.74308592734201</v>
      </c>
    </row>
    <row r="107" spans="1:26">
      <c r="A107" s="59">
        <v>5.6999999999999904</v>
      </c>
      <c r="B107" s="59">
        <f t="shared" si="17"/>
        <v>57.769288869202633</v>
      </c>
      <c r="C107" s="59">
        <v>5.6999999999999904</v>
      </c>
      <c r="D107" s="59">
        <f t="shared" si="18"/>
        <v>188.40311172998611</v>
      </c>
      <c r="E107" s="59">
        <v>5.6999999999999904</v>
      </c>
      <c r="F107" s="59">
        <f t="shared" si="19"/>
        <v>51.608202729484056</v>
      </c>
      <c r="H107" s="44" t="s">
        <v>227</v>
      </c>
      <c r="I107" s="57">
        <v>1.2</v>
      </c>
      <c r="J107" s="57" t="s">
        <v>1</v>
      </c>
      <c r="S107" s="59">
        <v>6.2</v>
      </c>
      <c r="T107" s="59">
        <f t="shared" si="13"/>
        <v>25.117465640928781</v>
      </c>
      <c r="U107" s="59">
        <v>6.2</v>
      </c>
      <c r="V107" s="59">
        <f t="shared" si="14"/>
        <v>50.23493128185757</v>
      </c>
      <c r="W107" s="59">
        <v>6.2</v>
      </c>
      <c r="X107" s="59">
        <f t="shared" si="15"/>
        <v>76.663917618635054</v>
      </c>
      <c r="Y107" s="59">
        <v>6.2</v>
      </c>
      <c r="Z107" s="59">
        <f t="shared" si="16"/>
        <v>153.32783523726999</v>
      </c>
    </row>
    <row r="108" spans="1:26">
      <c r="A108" s="59">
        <v>5.7999999999999901</v>
      </c>
      <c r="B108" s="59">
        <f t="shared" si="17"/>
        <v>58.803652849387106</v>
      </c>
      <c r="C108" s="59">
        <v>5.7999999999999901</v>
      </c>
      <c r="D108" s="59">
        <f t="shared" si="18"/>
        <v>192.26557653802118</v>
      </c>
      <c r="E108" s="59">
        <v>5.7999999999999901</v>
      </c>
      <c r="F108" s="59">
        <f t="shared" si="19"/>
        <v>52.440562783229275</v>
      </c>
      <c r="H108" s="44" t="s">
        <v>281</v>
      </c>
      <c r="I108" s="57">
        <v>1</v>
      </c>
      <c r="J108" s="57" t="s">
        <v>1</v>
      </c>
      <c r="S108" s="59">
        <v>6.26</v>
      </c>
      <c r="T108" s="59">
        <f t="shared" si="13"/>
        <v>25.359081203497876</v>
      </c>
      <c r="U108" s="59">
        <v>6.26</v>
      </c>
      <c r="V108" s="59">
        <f t="shared" si="14"/>
        <v>50.718162406995802</v>
      </c>
      <c r="W108" s="59">
        <v>6.26</v>
      </c>
      <c r="X108" s="59">
        <f t="shared" si="15"/>
        <v>77.456816772408118</v>
      </c>
      <c r="Y108" s="59">
        <v>6.26</v>
      </c>
      <c r="Z108" s="59">
        <f t="shared" si="16"/>
        <v>154.91363354481612</v>
      </c>
    </row>
    <row r="109" spans="1:26">
      <c r="A109" s="46"/>
      <c r="B109" s="46"/>
      <c r="H109" s="44" t="s">
        <v>283</v>
      </c>
      <c r="I109" s="57">
        <v>1</v>
      </c>
      <c r="J109" s="57" t="s">
        <v>1</v>
      </c>
      <c r="S109" s="59">
        <v>6.32</v>
      </c>
      <c r="T109" s="59">
        <f t="shared" si="13"/>
        <v>25.60068295429673</v>
      </c>
      <c r="U109" s="59">
        <v>6.32</v>
      </c>
      <c r="V109" s="59">
        <f t="shared" si="14"/>
        <v>51.201365908593424</v>
      </c>
      <c r="W109" s="59">
        <v>6.32</v>
      </c>
      <c r="X109" s="59">
        <f t="shared" si="15"/>
        <v>78.25023573990201</v>
      </c>
      <c r="Y109" s="59">
        <v>6.32</v>
      </c>
      <c r="Z109" s="59">
        <f t="shared" si="16"/>
        <v>156.50047147980405</v>
      </c>
    </row>
    <row r="110" spans="1:26">
      <c r="A110" s="46"/>
      <c r="B110" s="3"/>
      <c r="H110" s="44" t="s">
        <v>285</v>
      </c>
      <c r="I110" s="57">
        <v>1.5</v>
      </c>
      <c r="J110" s="57">
        <v>9.5</v>
      </c>
      <c r="S110" s="59">
        <v>6.38</v>
      </c>
      <c r="T110" s="59">
        <f t="shared" si="13"/>
        <v>25.842271025231952</v>
      </c>
      <c r="U110" s="59">
        <v>6.38</v>
      </c>
      <c r="V110" s="59">
        <f t="shared" si="14"/>
        <v>51.684542050463904</v>
      </c>
      <c r="W110" s="59">
        <v>6.38</v>
      </c>
      <c r="X110" s="59">
        <f t="shared" si="15"/>
        <v>79.044169921977044</v>
      </c>
      <c r="Y110" s="59">
        <v>6.38</v>
      </c>
      <c r="Z110" s="59">
        <f t="shared" si="16"/>
        <v>158.08833984395409</v>
      </c>
    </row>
    <row r="111" spans="1:26">
      <c r="A111" s="46"/>
      <c r="B111" s="3"/>
      <c r="H111" s="44" t="s">
        <v>414</v>
      </c>
      <c r="I111" s="57">
        <v>6.5</v>
      </c>
      <c r="J111" s="57" t="s">
        <v>1</v>
      </c>
      <c r="S111" s="59">
        <v>6.44</v>
      </c>
      <c r="T111" s="59">
        <f t="shared" si="13"/>
        <v>26.083845545721868</v>
      </c>
      <c r="U111" s="59">
        <v>6.44</v>
      </c>
      <c r="V111" s="59">
        <f t="shared" si="14"/>
        <v>52.167691091443693</v>
      </c>
      <c r="W111" s="59">
        <v>6.44</v>
      </c>
      <c r="X111" s="59">
        <f t="shared" si="15"/>
        <v>79.838614803070485</v>
      </c>
      <c r="Y111" s="59">
        <v>6.44</v>
      </c>
      <c r="Z111" s="59">
        <f t="shared" si="16"/>
        <v>159.67722960614086</v>
      </c>
    </row>
    <row r="112" spans="1:26" ht="23">
      <c r="A112" s="46"/>
      <c r="B112" s="46"/>
      <c r="H112" s="44" t="s">
        <v>346</v>
      </c>
      <c r="I112" s="57">
        <v>3</v>
      </c>
      <c r="J112" s="57">
        <v>3</v>
      </c>
      <c r="S112" s="59">
        <v>6.5</v>
      </c>
      <c r="T112" s="59">
        <f t="shared" si="13"/>
        <v>26.32540664276592</v>
      </c>
      <c r="U112" s="59">
        <v>6.5</v>
      </c>
      <c r="V112" s="59">
        <f t="shared" si="14"/>
        <v>52.650813285531825</v>
      </c>
      <c r="W112" s="59">
        <v>6.5</v>
      </c>
      <c r="X112" s="59">
        <f t="shared" si="15"/>
        <v>80.633565948913528</v>
      </c>
      <c r="Y112" s="59">
        <v>6.5</v>
      </c>
      <c r="Z112" s="59">
        <f t="shared" si="16"/>
        <v>161.26713189782706</v>
      </c>
    </row>
    <row r="113" spans="1:26">
      <c r="A113" s="46"/>
      <c r="B113" s="46"/>
      <c r="H113" s="44" t="s">
        <v>287</v>
      </c>
      <c r="I113" s="57">
        <v>1.8</v>
      </c>
      <c r="J113" s="57" t="s">
        <v>1</v>
      </c>
      <c r="S113" s="59">
        <v>6.56</v>
      </c>
      <c r="T113" s="59">
        <f t="shared" si="13"/>
        <v>26.566954441012058</v>
      </c>
      <c r="U113" s="59">
        <v>6.56</v>
      </c>
      <c r="V113" s="59">
        <f t="shared" si="14"/>
        <v>53.133908882024073</v>
      </c>
      <c r="W113" s="59">
        <v>6.56</v>
      </c>
      <c r="X113" s="59">
        <f t="shared" si="15"/>
        <v>81.429019004330655</v>
      </c>
      <c r="Y113" s="59">
        <v>6.56</v>
      </c>
      <c r="Z113" s="59">
        <f t="shared" si="16"/>
        <v>162.85803800866134</v>
      </c>
    </row>
    <row r="114" spans="1:26">
      <c r="A114" s="46"/>
      <c r="B114" s="46"/>
      <c r="H114" s="44" t="s">
        <v>348</v>
      </c>
      <c r="I114" s="57">
        <v>3</v>
      </c>
      <c r="J114" s="57">
        <v>15.6</v>
      </c>
      <c r="S114" s="59">
        <v>6.62</v>
      </c>
      <c r="T114" s="59">
        <f t="shared" si="13"/>
        <v>26.808489062821131</v>
      </c>
      <c r="U114" s="59">
        <v>6.62</v>
      </c>
      <c r="V114" s="59">
        <f t="shared" si="14"/>
        <v>53.61697812564222</v>
      </c>
      <c r="W114" s="59">
        <v>6.62</v>
      </c>
      <c r="X114" s="59">
        <f t="shared" si="15"/>
        <v>82.224969691117636</v>
      </c>
      <c r="Y114" s="59">
        <v>6.62</v>
      </c>
      <c r="Z114" s="59">
        <f t="shared" si="16"/>
        <v>164.44993938223513</v>
      </c>
    </row>
    <row r="115" spans="1:26">
      <c r="A115" s="46"/>
      <c r="B115" s="3"/>
      <c r="H115" s="44" t="s">
        <v>229</v>
      </c>
      <c r="I115" s="57">
        <v>1</v>
      </c>
      <c r="J115" s="57" t="s">
        <v>1</v>
      </c>
      <c r="S115" s="59">
        <v>6.68</v>
      </c>
      <c r="T115" s="59">
        <f t="shared" si="13"/>
        <v>27.050010628329385</v>
      </c>
      <c r="U115" s="59">
        <v>6.68</v>
      </c>
      <c r="V115" s="59">
        <f t="shared" si="14"/>
        <v>54.100021256658728</v>
      </c>
      <c r="W115" s="59">
        <v>6.68</v>
      </c>
      <c r="X115" s="59">
        <f t="shared" si="15"/>
        <v>83.02141380599582</v>
      </c>
      <c r="Y115" s="59">
        <v>6.68</v>
      </c>
      <c r="Z115" s="59">
        <f t="shared" si="16"/>
        <v>166.04282761199167</v>
      </c>
    </row>
    <row r="116" spans="1:26">
      <c r="A116" s="46"/>
      <c r="B116" s="3"/>
      <c r="H116" s="44" t="s">
        <v>416</v>
      </c>
      <c r="I116" s="57">
        <v>1.3</v>
      </c>
      <c r="J116" s="57">
        <v>13</v>
      </c>
      <c r="S116" s="59">
        <v>6.74</v>
      </c>
      <c r="T116" s="59">
        <f t="shared" si="13"/>
        <v>27.291519255508437</v>
      </c>
      <c r="U116" s="59">
        <v>6.74</v>
      </c>
      <c r="V116" s="59">
        <f t="shared" si="14"/>
        <v>54.583038511016873</v>
      </c>
      <c r="W116" s="59">
        <v>6.74</v>
      </c>
      <c r="X116" s="59">
        <f t="shared" si="15"/>
        <v>83.818347218638621</v>
      </c>
      <c r="Y116" s="59">
        <v>6.74</v>
      </c>
      <c r="Z116" s="59">
        <f t="shared" si="16"/>
        <v>167.63669443727755</v>
      </c>
    </row>
    <row r="117" spans="1:26">
      <c r="A117" s="46"/>
      <c r="B117" s="46"/>
      <c r="H117" s="44" t="s">
        <v>350</v>
      </c>
      <c r="I117" s="57">
        <v>1</v>
      </c>
      <c r="J117" s="57">
        <v>12.2</v>
      </c>
      <c r="S117" s="59">
        <v>6.8</v>
      </c>
      <c r="T117" s="59">
        <f t="shared" si="13"/>
        <v>27.533015060223256</v>
      </c>
      <c r="U117" s="59">
        <v>6.8</v>
      </c>
      <c r="V117" s="59">
        <f t="shared" si="14"/>
        <v>55.066030120446491</v>
      </c>
      <c r="W117" s="59">
        <v>6.8</v>
      </c>
      <c r="X117" s="59">
        <f t="shared" si="15"/>
        <v>84.615765869766861</v>
      </c>
      <c r="Y117" s="59">
        <v>6.8</v>
      </c>
      <c r="Z117" s="59">
        <f t="shared" si="16"/>
        <v>169.23153173953372</v>
      </c>
    </row>
    <row r="118" spans="1:26">
      <c r="A118" s="46"/>
      <c r="B118" s="46"/>
      <c r="H118" s="44" t="s">
        <v>352</v>
      </c>
      <c r="I118" s="57">
        <v>2</v>
      </c>
      <c r="J118" s="57">
        <v>8.5</v>
      </c>
      <c r="S118" s="59">
        <v>6.86</v>
      </c>
      <c r="T118" s="59">
        <f t="shared" si="13"/>
        <v>27.774498156287972</v>
      </c>
      <c r="U118" s="59">
        <v>6.86</v>
      </c>
      <c r="V118" s="59">
        <f t="shared" si="14"/>
        <v>55.548996312575902</v>
      </c>
      <c r="W118" s="59">
        <v>6.86</v>
      </c>
      <c r="X118" s="59">
        <f t="shared" si="15"/>
        <v>85.413665769310043</v>
      </c>
      <c r="Y118" s="59">
        <v>6.86</v>
      </c>
      <c r="Z118" s="59">
        <f t="shared" si="16"/>
        <v>170.82733153861994</v>
      </c>
    </row>
    <row r="119" spans="1:26">
      <c r="A119" s="46"/>
      <c r="B119" s="3"/>
      <c r="H119" s="44" t="s">
        <v>357</v>
      </c>
      <c r="I119" s="57">
        <v>2</v>
      </c>
      <c r="J119" s="57">
        <v>7.3</v>
      </c>
      <c r="S119" s="59">
        <v>6.92</v>
      </c>
      <c r="T119" s="59">
        <f t="shared" si="13"/>
        <v>28.015968655519838</v>
      </c>
      <c r="U119" s="59">
        <v>6.92</v>
      </c>
      <c r="V119" s="59">
        <f t="shared" si="14"/>
        <v>56.031937311039655</v>
      </c>
      <c r="W119" s="59">
        <v>6.92</v>
      </c>
      <c r="X119" s="59">
        <f t="shared" si="15"/>
        <v>86.212042994631503</v>
      </c>
      <c r="Y119" s="59">
        <v>6.92</v>
      </c>
      <c r="Z119" s="59">
        <f t="shared" si="16"/>
        <v>172.42408598926303</v>
      </c>
    </row>
    <row r="120" spans="1:26" ht="23">
      <c r="A120" s="46"/>
      <c r="B120" s="3"/>
      <c r="H120" s="44" t="s">
        <v>354</v>
      </c>
      <c r="I120" s="57">
        <v>2</v>
      </c>
      <c r="J120" s="57">
        <v>6</v>
      </c>
      <c r="S120" s="59">
        <v>6.98</v>
      </c>
      <c r="T120" s="59">
        <f t="shared" si="13"/>
        <v>28.257426667791346</v>
      </c>
      <c r="U120" s="59">
        <v>6.98</v>
      </c>
      <c r="V120" s="59">
        <f t="shared" si="14"/>
        <v>56.514853335582622</v>
      </c>
      <c r="W120" s="59">
        <v>6.98</v>
      </c>
      <c r="X120" s="59">
        <f t="shared" si="15"/>
        <v>87.010893688813724</v>
      </c>
      <c r="Y120" s="59">
        <v>6.98</v>
      </c>
      <c r="Z120" s="59">
        <f t="shared" si="16"/>
        <v>174.02178737762762</v>
      </c>
    </row>
    <row r="121" spans="1:26" ht="23">
      <c r="A121" s="46"/>
      <c r="B121" s="3"/>
      <c r="H121" s="44" t="s">
        <v>355</v>
      </c>
      <c r="I121" s="57">
        <v>1.5</v>
      </c>
      <c r="J121" s="57">
        <v>6.9</v>
      </c>
      <c r="S121" s="59">
        <v>7.04</v>
      </c>
      <c r="T121" s="59">
        <f t="shared" si="13"/>
        <v>28.498872301080297</v>
      </c>
      <c r="U121" s="59">
        <v>7.04</v>
      </c>
      <c r="V121" s="59">
        <f t="shared" si="14"/>
        <v>56.997744602160573</v>
      </c>
      <c r="W121" s="59">
        <v>7.04</v>
      </c>
      <c r="X121" s="59">
        <f t="shared" si="15"/>
        <v>87.810214059001495</v>
      </c>
      <c r="Y121" s="59">
        <v>7.04</v>
      </c>
      <c r="Z121" s="59">
        <f t="shared" si="16"/>
        <v>175.62042811800302</v>
      </c>
    </row>
    <row r="122" spans="1:26">
      <c r="A122" s="46"/>
      <c r="B122" s="46"/>
      <c r="H122" s="44" t="s">
        <v>358</v>
      </c>
      <c r="I122" s="57">
        <v>1.5</v>
      </c>
      <c r="J122" s="57">
        <v>9.6999999999999993</v>
      </c>
      <c r="S122" s="59">
        <v>7.1</v>
      </c>
      <c r="T122" s="59">
        <f t="shared" si="13"/>
        <v>28.740305661518544</v>
      </c>
      <c r="U122" s="59">
        <v>7.1</v>
      </c>
      <c r="V122" s="59">
        <f t="shared" si="14"/>
        <v>57.480611323037017</v>
      </c>
      <c r="W122" s="59">
        <v>7.1</v>
      </c>
      <c r="X122" s="59">
        <f t="shared" si="15"/>
        <v>88.610000374800705</v>
      </c>
      <c r="Y122" s="59">
        <v>7.1</v>
      </c>
      <c r="Z122" s="59">
        <f t="shared" si="16"/>
        <v>177.22000074960158</v>
      </c>
    </row>
    <row r="123" spans="1:26">
      <c r="A123" s="46"/>
      <c r="B123" s="46"/>
      <c r="H123" s="44" t="s">
        <v>231</v>
      </c>
      <c r="I123" s="57">
        <v>6</v>
      </c>
      <c r="J123" s="57" t="s">
        <v>1</v>
      </c>
      <c r="S123" s="59">
        <v>7.16</v>
      </c>
      <c r="T123" s="59">
        <f t="shared" si="13"/>
        <v>28.981726853438733</v>
      </c>
      <c r="U123" s="59">
        <v>7.16</v>
      </c>
      <c r="V123" s="59">
        <f t="shared" si="14"/>
        <v>57.963453706877473</v>
      </c>
      <c r="W123" s="59">
        <v>7.16</v>
      </c>
      <c r="X123" s="59">
        <f t="shared" si="15"/>
        <v>89.410248966730521</v>
      </c>
      <c r="Y123" s="59">
        <v>7.16</v>
      </c>
      <c r="Z123" s="59">
        <f t="shared" si="16"/>
        <v>178.82049793346104</v>
      </c>
    </row>
    <row r="124" spans="1:26">
      <c r="A124" s="46"/>
      <c r="B124" s="3"/>
      <c r="H124" s="44" t="s">
        <v>182</v>
      </c>
      <c r="I124" s="57">
        <v>5</v>
      </c>
      <c r="J124" s="57">
        <v>20</v>
      </c>
      <c r="S124" s="59">
        <v>7.22</v>
      </c>
      <c r="T124" s="59">
        <f t="shared" si="13"/>
        <v>29.223135979419745</v>
      </c>
      <c r="U124" s="59">
        <v>7.22</v>
      </c>
      <c r="V124" s="59">
        <f t="shared" si="14"/>
        <v>58.446271958839439</v>
      </c>
      <c r="W124" s="59">
        <v>7.22</v>
      </c>
      <c r="X124" s="59">
        <f t="shared" si="15"/>
        <v>90.210956224726274</v>
      </c>
      <c r="Y124" s="59">
        <v>7.22</v>
      </c>
      <c r="Z124" s="59">
        <f t="shared" si="16"/>
        <v>180.42191244945258</v>
      </c>
    </row>
    <row r="125" spans="1:26">
      <c r="A125" s="46"/>
      <c r="B125" s="3"/>
      <c r="H125" s="44" t="s">
        <v>289</v>
      </c>
      <c r="I125" s="57">
        <v>2</v>
      </c>
      <c r="J125" s="57">
        <v>21</v>
      </c>
      <c r="S125" s="59">
        <v>7.28</v>
      </c>
      <c r="T125" s="59">
        <f t="shared" si="13"/>
        <v>29.464533140330342</v>
      </c>
      <c r="U125" s="59">
        <v>7.28</v>
      </c>
      <c r="V125" s="59">
        <f t="shared" si="14"/>
        <v>58.929066280660692</v>
      </c>
      <c r="W125" s="59">
        <v>7.28</v>
      </c>
      <c r="X125" s="59">
        <f t="shared" si="15"/>
        <v>91.01211859669155</v>
      </c>
      <c r="Y125" s="59">
        <v>7.28</v>
      </c>
      <c r="Z125" s="59">
        <f t="shared" si="16"/>
        <v>182.0242371933831</v>
      </c>
    </row>
    <row r="126" spans="1:26">
      <c r="A126" s="46"/>
      <c r="B126" s="46"/>
      <c r="H126" s="44" t="s">
        <v>233</v>
      </c>
      <c r="I126" s="57">
        <v>4</v>
      </c>
      <c r="J126" s="57" t="s">
        <v>1</v>
      </c>
      <c r="S126" s="59">
        <v>7.34</v>
      </c>
      <c r="T126" s="59">
        <f t="shared" si="13"/>
        <v>29.705918435371778</v>
      </c>
      <c r="U126" s="59">
        <v>7.34</v>
      </c>
      <c r="V126" s="59">
        <f t="shared" si="14"/>
        <v>59.411836870743556</v>
      </c>
      <c r="W126" s="59">
        <v>7.34</v>
      </c>
      <c r="X126" s="59">
        <f t="shared" si="15"/>
        <v>91.813732587097377</v>
      </c>
      <c r="Y126" s="59">
        <v>7.34</v>
      </c>
      <c r="Z126" s="59">
        <f t="shared" si="16"/>
        <v>183.62746517419461</v>
      </c>
    </row>
    <row r="127" spans="1:26">
      <c r="A127" s="46"/>
      <c r="B127" s="46"/>
      <c r="H127" s="44" t="s">
        <v>256</v>
      </c>
      <c r="I127" s="57">
        <v>1.2</v>
      </c>
      <c r="J127" s="57">
        <v>16.100000000000001</v>
      </c>
      <c r="S127" s="59">
        <v>7.4</v>
      </c>
      <c r="T127" s="59">
        <f t="shared" si="13"/>
        <v>29.947291962118566</v>
      </c>
      <c r="U127" s="59">
        <v>7.4</v>
      </c>
      <c r="V127" s="59">
        <f t="shared" si="14"/>
        <v>59.894583924237139</v>
      </c>
      <c r="W127" s="59">
        <v>7.4</v>
      </c>
      <c r="X127" s="59">
        <f t="shared" si="15"/>
        <v>92.615794755625657</v>
      </c>
      <c r="Y127" s="59">
        <v>7.4</v>
      </c>
      <c r="Z127" s="59">
        <f t="shared" si="16"/>
        <v>185.23158951125134</v>
      </c>
    </row>
    <row r="128" spans="1:26">
      <c r="A128" s="46"/>
      <c r="B128" s="46"/>
      <c r="H128" s="44" t="s">
        <v>235</v>
      </c>
      <c r="I128" s="57">
        <v>1.7</v>
      </c>
      <c r="J128" s="57">
        <v>15.9</v>
      </c>
      <c r="S128" s="59">
        <v>7.46</v>
      </c>
      <c r="T128" s="59">
        <f t="shared" si="13"/>
        <v>30.188653816558155</v>
      </c>
      <c r="U128" s="59">
        <v>7.46</v>
      </c>
      <c r="V128" s="59">
        <f t="shared" si="14"/>
        <v>60.377307633116317</v>
      </c>
      <c r="W128" s="59">
        <v>7.46</v>
      </c>
      <c r="X128" s="59">
        <f t="shared" si="15"/>
        <v>93.418301715856899</v>
      </c>
      <c r="Y128" s="59">
        <v>7.46</v>
      </c>
      <c r="Z128" s="59">
        <f t="shared" si="16"/>
        <v>186.83660343171383</v>
      </c>
    </row>
    <row r="129" spans="8:26">
      <c r="H129" s="44" t="s">
        <v>360</v>
      </c>
      <c r="I129" s="57">
        <v>1.5</v>
      </c>
      <c r="J129" s="57">
        <v>6.2</v>
      </c>
      <c r="S129" s="59">
        <v>7.52</v>
      </c>
      <c r="T129" s="59">
        <f t="shared" si="13"/>
        <v>30.43000409312944</v>
      </c>
      <c r="U129" s="59">
        <v>7.52</v>
      </c>
      <c r="V129" s="59">
        <f t="shared" si="14"/>
        <v>60.860008186258831</v>
      </c>
      <c r="W129" s="59">
        <v>7.52</v>
      </c>
      <c r="X129" s="59">
        <f t="shared" si="15"/>
        <v>94.221250133998439</v>
      </c>
      <c r="Y129" s="59">
        <v>7.52</v>
      </c>
      <c r="Z129" s="59">
        <f t="shared" si="16"/>
        <v>188.44250026799708</v>
      </c>
    </row>
    <row r="130" spans="8:26">
      <c r="H130" s="44" t="s">
        <v>362</v>
      </c>
      <c r="I130" s="57">
        <v>2</v>
      </c>
      <c r="J130" s="57">
        <v>4</v>
      </c>
      <c r="S130" s="59">
        <v>7.58</v>
      </c>
      <c r="T130" s="59">
        <f t="shared" si="13"/>
        <v>30.671342884759696</v>
      </c>
      <c r="U130" s="59">
        <v>7.58</v>
      </c>
      <c r="V130" s="59">
        <f t="shared" si="14"/>
        <v>61.342685769519342</v>
      </c>
      <c r="W130" s="59">
        <v>7.58</v>
      </c>
      <c r="X130" s="59">
        <f t="shared" si="15"/>
        <v>95.024636727653629</v>
      </c>
      <c r="Y130" s="59">
        <v>7.58</v>
      </c>
      <c r="Z130" s="59">
        <f t="shared" si="16"/>
        <v>190.04927345530729</v>
      </c>
    </row>
    <row r="131" spans="8:26">
      <c r="H131" s="44" t="s">
        <v>364</v>
      </c>
      <c r="I131" s="57">
        <v>1.8</v>
      </c>
      <c r="J131" s="57">
        <v>9</v>
      </c>
      <c r="S131" s="59">
        <v>7.64</v>
      </c>
      <c r="T131" s="59">
        <f t="shared" si="13"/>
        <v>30.912670282900738</v>
      </c>
      <c r="U131" s="59">
        <v>7.64</v>
      </c>
      <c r="V131" s="59">
        <f t="shared" si="14"/>
        <v>61.825340565801426</v>
      </c>
      <c r="W131" s="59">
        <v>7.64</v>
      </c>
      <c r="X131" s="59">
        <f t="shared" si="15"/>
        <v>95.828458264628381</v>
      </c>
      <c r="Y131" s="59">
        <v>7.64</v>
      </c>
      <c r="Z131" s="59">
        <f t="shared" si="16"/>
        <v>191.65691652925676</v>
      </c>
    </row>
    <row r="132" spans="8:26">
      <c r="H132" s="44" t="s">
        <v>418</v>
      </c>
      <c r="I132" s="57">
        <v>2.5</v>
      </c>
      <c r="J132" s="57" t="s">
        <v>1</v>
      </c>
      <c r="S132" s="59">
        <v>7.7</v>
      </c>
      <c r="T132" s="59">
        <f t="shared" si="13"/>
        <v>31.153986377563633</v>
      </c>
      <c r="U132" s="59">
        <v>7.7</v>
      </c>
      <c r="V132" s="59">
        <f t="shared" si="14"/>
        <v>62.307972755127295</v>
      </c>
      <c r="W132" s="59">
        <v>7.7</v>
      </c>
      <c r="X132" s="59">
        <f t="shared" si="15"/>
        <v>96.63271156177511</v>
      </c>
      <c r="Y132" s="59">
        <v>7.7</v>
      </c>
      <c r="Z132" s="59">
        <f t="shared" si="16"/>
        <v>193.26542312355042</v>
      </c>
    </row>
    <row r="133" spans="8:26">
      <c r="H133" s="44" t="s">
        <v>237</v>
      </c>
      <c r="I133" s="57">
        <v>3.2</v>
      </c>
      <c r="J133" s="57">
        <v>18.8</v>
      </c>
      <c r="S133" s="59">
        <v>7.76</v>
      </c>
      <c r="T133" s="59">
        <f t="shared" ref="T133:T171" si="20">10^(-1.006^-1*(0.87+LOG((0.03*1000)^-1.006/S133)))</f>
        <v>31.395291257352536</v>
      </c>
      <c r="U133" s="59">
        <v>7.76</v>
      </c>
      <c r="V133" s="59">
        <f t="shared" ref="V133:V171" si="21">10^(-1.006^-1*(0.87+LOG((0.03*2000)^-1.006/U133)))</f>
        <v>62.790582514705079</v>
      </c>
      <c r="W133" s="59">
        <v>7.76</v>
      </c>
      <c r="X133" s="59">
        <f t="shared" ref="X133:X171" si="22">10^(-0.936^-1*(0.411+LOG((0.03*1000)^-0.936/W133)))</f>
        <v>97.437393483872071</v>
      </c>
      <c r="Y133" s="59">
        <v>7.76</v>
      </c>
      <c r="Z133" s="59">
        <f t="shared" ref="Z133:Z171" si="23">10^(-0.936^-1*(0.411+LOG((0.03*2000)^-0.936/Y133)))</f>
        <v>194.87478696774414</v>
      </c>
    </row>
    <row r="134" spans="8:26">
      <c r="H134" s="44" t="s">
        <v>184</v>
      </c>
      <c r="I134" s="57">
        <v>3.2</v>
      </c>
      <c r="J134" s="57">
        <v>29.4</v>
      </c>
      <c r="S134" s="59">
        <v>7.82</v>
      </c>
      <c r="T134" s="59">
        <f t="shared" si="20"/>
        <v>31.636585009497228</v>
      </c>
      <c r="U134" s="59">
        <v>7.82</v>
      </c>
      <c r="V134" s="59">
        <f t="shared" si="21"/>
        <v>63.27317001899452</v>
      </c>
      <c r="W134" s="59">
        <v>7.82</v>
      </c>
      <c r="X134" s="59">
        <f t="shared" si="22"/>
        <v>98.242500942536736</v>
      </c>
      <c r="Y134" s="59">
        <v>7.82</v>
      </c>
      <c r="Z134" s="59">
        <f t="shared" si="23"/>
        <v>196.4850018850733</v>
      </c>
    </row>
    <row r="135" spans="8:26">
      <c r="H135" s="44" t="s">
        <v>239</v>
      </c>
      <c r="I135" s="57">
        <v>1</v>
      </c>
      <c r="J135" s="57" t="s">
        <v>1</v>
      </c>
      <c r="S135" s="59">
        <v>7.88</v>
      </c>
      <c r="T135" s="59">
        <f t="shared" si="20"/>
        <v>31.877867719885092</v>
      </c>
      <c r="U135" s="59">
        <v>7.88</v>
      </c>
      <c r="V135" s="59">
        <f t="shared" si="21"/>
        <v>63.755735439770135</v>
      </c>
      <c r="W135" s="59">
        <v>7.88</v>
      </c>
      <c r="X135" s="59">
        <f t="shared" si="22"/>
        <v>99.048030895171181</v>
      </c>
      <c r="Y135" s="59">
        <v>7.88</v>
      </c>
      <c r="Z135" s="59">
        <f t="shared" si="23"/>
        <v>198.09606179034222</v>
      </c>
    </row>
    <row r="136" spans="8:26">
      <c r="H136" s="44" t="s">
        <v>420</v>
      </c>
      <c r="I136" s="57">
        <v>1.5</v>
      </c>
      <c r="J136" s="57">
        <v>14.1</v>
      </c>
      <c r="S136" s="59">
        <v>7.94</v>
      </c>
      <c r="T136" s="59">
        <f t="shared" si="20"/>
        <v>32.119139473091472</v>
      </c>
      <c r="U136" s="59">
        <v>7.94</v>
      </c>
      <c r="V136" s="59">
        <f t="shared" si="21"/>
        <v>64.23827894618293</v>
      </c>
      <c r="W136" s="59">
        <v>7.94</v>
      </c>
      <c r="X136" s="59">
        <f t="shared" si="22"/>
        <v>99.853980343941146</v>
      </c>
      <c r="Y136" s="59">
        <v>7.94</v>
      </c>
      <c r="Z136" s="59">
        <f t="shared" si="23"/>
        <v>199.70796068788249</v>
      </c>
    </row>
    <row r="137" spans="8:26">
      <c r="H137" s="44" t="s">
        <v>366</v>
      </c>
      <c r="I137" s="57">
        <v>4.2</v>
      </c>
      <c r="J137" s="57" t="s">
        <v>1</v>
      </c>
      <c r="S137" s="59">
        <v>8</v>
      </c>
      <c r="T137" s="59">
        <f t="shared" si="20"/>
        <v>32.360400352409847</v>
      </c>
      <c r="U137" s="59">
        <v>8</v>
      </c>
      <c r="V137" s="59">
        <f t="shared" si="21"/>
        <v>64.720800704819695</v>
      </c>
      <c r="W137" s="59">
        <v>8</v>
      </c>
      <c r="X137" s="59">
        <f t="shared" si="22"/>
        <v>100.66034633478296</v>
      </c>
      <c r="Y137" s="59">
        <v>8</v>
      </c>
      <c r="Z137" s="59">
        <f t="shared" si="23"/>
        <v>201.32069266956591</v>
      </c>
    </row>
    <row r="138" spans="8:26" ht="23">
      <c r="H138" s="44" t="s">
        <v>186</v>
      </c>
      <c r="I138" s="57">
        <v>0.8</v>
      </c>
      <c r="J138" s="57">
        <v>7.9</v>
      </c>
      <c r="S138" s="59">
        <v>8.06</v>
      </c>
      <c r="T138" s="59">
        <f t="shared" si="20"/>
        <v>32.601650439880473</v>
      </c>
      <c r="U138" s="59">
        <v>8.06</v>
      </c>
      <c r="V138" s="59">
        <f t="shared" si="21"/>
        <v>65.203300879760917</v>
      </c>
      <c r="W138" s="59">
        <v>8.06</v>
      </c>
      <c r="X138" s="59">
        <f t="shared" si="22"/>
        <v>101.46712595644102</v>
      </c>
      <c r="Y138" s="59">
        <v>8.06</v>
      </c>
      <c r="Z138" s="59">
        <f t="shared" si="23"/>
        <v>202.93425191288208</v>
      </c>
    </row>
    <row r="139" spans="8:26">
      <c r="H139" s="44" t="s">
        <v>291</v>
      </c>
      <c r="I139" s="57">
        <v>1</v>
      </c>
      <c r="J139" s="57" t="s">
        <v>1</v>
      </c>
      <c r="S139" s="59">
        <v>8.1199999999999992</v>
      </c>
      <c r="T139" s="59">
        <f t="shared" si="20"/>
        <v>32.842889816318518</v>
      </c>
      <c r="U139" s="59">
        <v>8.1199999999999992</v>
      </c>
      <c r="V139" s="59">
        <f t="shared" si="21"/>
        <v>65.68577963263705</v>
      </c>
      <c r="W139" s="59">
        <v>8.1199999999999992</v>
      </c>
      <c r="X139" s="59">
        <f t="shared" si="22"/>
        <v>102.27431633953363</v>
      </c>
      <c r="Y139" s="59">
        <v>8.1199999999999992</v>
      </c>
      <c r="Z139" s="59">
        <f t="shared" si="23"/>
        <v>204.54863267906745</v>
      </c>
    </row>
    <row r="140" spans="8:26">
      <c r="H140" s="44" t="s">
        <v>241</v>
      </c>
      <c r="I140" s="57">
        <v>1.5</v>
      </c>
      <c r="J140" s="44">
        <v>18.2</v>
      </c>
      <c r="S140" s="59">
        <v>8.18</v>
      </c>
      <c r="T140" s="59">
        <f t="shared" si="20"/>
        <v>33.084118561341313</v>
      </c>
      <c r="U140" s="59">
        <v>8.18</v>
      </c>
      <c r="V140" s="59">
        <f t="shared" si="21"/>
        <v>66.168237122682669</v>
      </c>
      <c r="W140" s="59">
        <v>8.18</v>
      </c>
      <c r="X140" s="59">
        <f t="shared" si="22"/>
        <v>103.08191465564582</v>
      </c>
      <c r="Y140" s="59">
        <v>8.18</v>
      </c>
      <c r="Z140" s="59">
        <f t="shared" si="23"/>
        <v>206.16382931129166</v>
      </c>
    </row>
    <row r="141" spans="8:26">
      <c r="H141" s="44" t="s">
        <v>244</v>
      </c>
      <c r="I141" s="57">
        <v>4</v>
      </c>
      <c r="J141" s="57" t="s">
        <v>1</v>
      </c>
      <c r="S141" s="59">
        <v>8.24</v>
      </c>
      <c r="T141" s="59">
        <f t="shared" si="20"/>
        <v>33.325336753394673</v>
      </c>
      <c r="U141" s="59">
        <v>8.24</v>
      </c>
      <c r="V141" s="59">
        <f t="shared" si="21"/>
        <v>66.65067350678936</v>
      </c>
      <c r="W141" s="59">
        <v>8.24</v>
      </c>
      <c r="X141" s="59">
        <f t="shared" si="22"/>
        <v>103.88991811644745</v>
      </c>
      <c r="Y141" s="59">
        <v>8.24</v>
      </c>
      <c r="Z141" s="59">
        <f t="shared" si="23"/>
        <v>207.77983623289472</v>
      </c>
    </row>
    <row r="142" spans="8:26">
      <c r="H142" s="44" t="s">
        <v>258</v>
      </c>
      <c r="I142" s="57">
        <v>1.7</v>
      </c>
      <c r="J142" s="57">
        <v>12</v>
      </c>
      <c r="S142" s="59">
        <v>8.3000000000000007</v>
      </c>
      <c r="T142" s="59">
        <f t="shared" si="20"/>
        <v>33.566544469778627</v>
      </c>
      <c r="U142" s="59">
        <v>8.3000000000000007</v>
      </c>
      <c r="V142" s="59">
        <f t="shared" si="21"/>
        <v>67.133088939557169</v>
      </c>
      <c r="W142" s="59">
        <v>8.3000000000000007</v>
      </c>
      <c r="X142" s="59">
        <f t="shared" si="22"/>
        <v>104.69832397283753</v>
      </c>
      <c r="Y142" s="59">
        <v>8.3000000000000007</v>
      </c>
      <c r="Z142" s="59">
        <f t="shared" si="23"/>
        <v>209.39664794567506</v>
      </c>
    </row>
    <row r="143" spans="8:26">
      <c r="H143" s="44" t="s">
        <v>293</v>
      </c>
      <c r="I143" s="57">
        <v>2</v>
      </c>
      <c r="J143" s="57">
        <v>9.1</v>
      </c>
      <c r="S143" s="59">
        <v>8.36</v>
      </c>
      <c r="T143" s="59">
        <f t="shared" si="20"/>
        <v>33.807741786672203</v>
      </c>
      <c r="U143" s="59">
        <v>8.36</v>
      </c>
      <c r="V143" s="59">
        <f t="shared" si="21"/>
        <v>67.615483573344321</v>
      </c>
      <c r="W143" s="59">
        <v>8.36</v>
      </c>
      <c r="X143" s="59">
        <f t="shared" si="22"/>
        <v>105.50712951411326</v>
      </c>
      <c r="Y143" s="59">
        <v>8.36</v>
      </c>
      <c r="Z143" s="59">
        <f t="shared" si="23"/>
        <v>211.01425902822652</v>
      </c>
    </row>
    <row r="144" spans="8:26">
      <c r="H144" s="44" t="s">
        <v>552</v>
      </c>
      <c r="I144" s="57">
        <v>1</v>
      </c>
      <c r="J144" s="44">
        <v>18.2</v>
      </c>
      <c r="S144" s="59">
        <v>8.42</v>
      </c>
      <c r="T144" s="59">
        <f t="shared" si="20"/>
        <v>34.048928779157741</v>
      </c>
      <c r="U144" s="59">
        <v>8.42</v>
      </c>
      <c r="V144" s="59">
        <f t="shared" si="21"/>
        <v>68.097857558315525</v>
      </c>
      <c r="W144" s="59">
        <v>8.42</v>
      </c>
      <c r="X144" s="59">
        <f t="shared" si="22"/>
        <v>106.31633206716137</v>
      </c>
      <c r="Y144" s="59">
        <v>8.42</v>
      </c>
      <c r="Z144" s="59">
        <f t="shared" si="23"/>
        <v>212.63266413432274</v>
      </c>
    </row>
    <row r="145" spans="8:26">
      <c r="H145" s="44" t="s">
        <v>295</v>
      </c>
      <c r="I145" s="57">
        <v>2</v>
      </c>
      <c r="J145" s="57">
        <v>9.1</v>
      </c>
      <c r="S145" s="59">
        <v>8.48</v>
      </c>
      <c r="T145" s="59">
        <f t="shared" si="20"/>
        <v>34.290105521244392</v>
      </c>
      <c r="U145" s="59">
        <v>8.48</v>
      </c>
      <c r="V145" s="59">
        <f t="shared" si="21"/>
        <v>68.580211042488727</v>
      </c>
      <c r="W145" s="59">
        <v>8.48</v>
      </c>
      <c r="X145" s="59">
        <f t="shared" si="22"/>
        <v>107.1259289956724</v>
      </c>
      <c r="Y145" s="59">
        <v>8.48</v>
      </c>
      <c r="Z145" s="59">
        <f t="shared" si="23"/>
        <v>214.25185799134482</v>
      </c>
    </row>
    <row r="146" spans="8:26">
      <c r="H146" s="44" t="s">
        <v>246</v>
      </c>
      <c r="I146" s="57">
        <v>1</v>
      </c>
      <c r="J146" s="57" t="s">
        <v>1</v>
      </c>
      <c r="S146" s="59">
        <v>8.5399999999999991</v>
      </c>
      <c r="T146" s="59">
        <f t="shared" si="20"/>
        <v>34.531272085890727</v>
      </c>
      <c r="U146" s="59">
        <v>8.5399999999999991</v>
      </c>
      <c r="V146" s="59">
        <f t="shared" si="21"/>
        <v>69.062544171781369</v>
      </c>
      <c r="W146" s="59">
        <v>8.5399999999999991</v>
      </c>
      <c r="X146" s="59">
        <f t="shared" si="22"/>
        <v>107.93591769937747</v>
      </c>
      <c r="Y146" s="59">
        <v>8.5399999999999991</v>
      </c>
      <c r="Z146" s="59">
        <f t="shared" si="23"/>
        <v>215.87183539875477</v>
      </c>
    </row>
    <row r="147" spans="8:26" ht="23">
      <c r="H147" s="44" t="s">
        <v>368</v>
      </c>
      <c r="I147" s="57">
        <v>7</v>
      </c>
      <c r="J147" s="57">
        <v>3.2</v>
      </c>
      <c r="S147" s="59">
        <v>8.6</v>
      </c>
      <c r="T147" s="59">
        <f t="shared" si="20"/>
        <v>34.772428545027182</v>
      </c>
      <c r="U147" s="59">
        <v>8.6</v>
      </c>
      <c r="V147" s="59">
        <f t="shared" si="21"/>
        <v>69.54485709005435</v>
      </c>
      <c r="W147" s="59">
        <v>8.6</v>
      </c>
      <c r="X147" s="59">
        <f t="shared" si="22"/>
        <v>108.74629561330556</v>
      </c>
      <c r="Y147" s="59">
        <v>8.6</v>
      </c>
      <c r="Z147" s="59">
        <f t="shared" si="23"/>
        <v>217.49259122661132</v>
      </c>
    </row>
    <row r="148" spans="8:26">
      <c r="H148" s="44" t="s">
        <v>188</v>
      </c>
      <c r="I148" s="57">
        <v>3</v>
      </c>
      <c r="J148" s="57">
        <v>12.2</v>
      </c>
      <c r="S148" s="59">
        <v>8.66</v>
      </c>
      <c r="T148" s="59">
        <f t="shared" si="20"/>
        <v>35.013574969577505</v>
      </c>
      <c r="U148" s="59">
        <v>8.66</v>
      </c>
      <c r="V148" s="59">
        <f t="shared" si="21"/>
        <v>70.027149939154953</v>
      </c>
      <c r="W148" s="59">
        <v>8.66</v>
      </c>
      <c r="X148" s="59">
        <f t="shared" si="22"/>
        <v>109.55706020706187</v>
      </c>
      <c r="Y148" s="59">
        <v>8.66</v>
      </c>
      <c r="Z148" s="59">
        <f t="shared" si="23"/>
        <v>219.11412041412373</v>
      </c>
    </row>
    <row r="149" spans="8:26">
      <c r="H149" s="44" t="s">
        <v>248</v>
      </c>
      <c r="I149" s="57">
        <v>2.2000000000000002</v>
      </c>
      <c r="J149" s="57">
        <v>7.3</v>
      </c>
      <c r="S149" s="59">
        <v>8.7200000000000006</v>
      </c>
      <c r="T149" s="59">
        <f t="shared" si="20"/>
        <v>35.254711429479727</v>
      </c>
      <c r="U149" s="59">
        <v>8.7200000000000006</v>
      </c>
      <c r="V149" s="59">
        <f t="shared" si="21"/>
        <v>70.509422858959425</v>
      </c>
      <c r="W149" s="59">
        <v>8.7200000000000006</v>
      </c>
      <c r="X149" s="59">
        <f t="shared" si="22"/>
        <v>110.36820898412437</v>
      </c>
      <c r="Y149" s="59">
        <v>8.7200000000000006</v>
      </c>
      <c r="Z149" s="59">
        <f t="shared" si="23"/>
        <v>220.73641796824876</v>
      </c>
    </row>
    <row r="150" spans="8:26">
      <c r="H150" s="44" t="s">
        <v>297</v>
      </c>
      <c r="I150" s="57">
        <v>1</v>
      </c>
      <c r="J150" s="57" t="s">
        <v>1</v>
      </c>
      <c r="S150" s="59">
        <v>8.7799999999999994</v>
      </c>
      <c r="T150" s="59">
        <f t="shared" si="20"/>
        <v>35.495837993706495</v>
      </c>
      <c r="U150" s="59">
        <v>8.7799999999999994</v>
      </c>
      <c r="V150" s="59">
        <f t="shared" si="21"/>
        <v>70.991675987413018</v>
      </c>
      <c r="W150" s="59">
        <v>8.7799999999999994</v>
      </c>
      <c r="X150" s="59">
        <f t="shared" si="22"/>
        <v>111.17973948116118</v>
      </c>
      <c r="Y150" s="59">
        <v>8.7799999999999994</v>
      </c>
      <c r="Z150" s="59">
        <f t="shared" si="23"/>
        <v>222.35947896232216</v>
      </c>
    </row>
    <row r="151" spans="8:26">
      <c r="H151" s="44" t="s">
        <v>422</v>
      </c>
      <c r="I151" s="57">
        <v>4.5</v>
      </c>
      <c r="J151" s="57" t="s">
        <v>1</v>
      </c>
      <c r="S151" s="59">
        <v>8.84</v>
      </c>
      <c r="T151" s="59">
        <f t="shared" si="20"/>
        <v>35.736954730285063</v>
      </c>
      <c r="U151" s="59">
        <v>8.84</v>
      </c>
      <c r="V151" s="59">
        <f t="shared" si="21"/>
        <v>71.473909460570198</v>
      </c>
      <c r="W151" s="59">
        <v>8.84</v>
      </c>
      <c r="X151" s="59">
        <f t="shared" si="22"/>
        <v>111.99164926736502</v>
      </c>
      <c r="Y151" s="59">
        <v>8.84</v>
      </c>
      <c r="Z151" s="59">
        <f t="shared" si="23"/>
        <v>223.98329853473004</v>
      </c>
    </row>
    <row r="152" spans="8:26">
      <c r="H152" s="44" t="s">
        <v>190</v>
      </c>
      <c r="I152" s="57">
        <v>6.5</v>
      </c>
      <c r="J152" s="57" t="s">
        <v>1</v>
      </c>
      <c r="S152" s="59">
        <v>8.9</v>
      </c>
      <c r="T152" s="59">
        <f t="shared" si="20"/>
        <v>35.97806170631646</v>
      </c>
      <c r="U152" s="59">
        <v>8.9</v>
      </c>
      <c r="V152" s="59">
        <f t="shared" si="21"/>
        <v>71.95612341263292</v>
      </c>
      <c r="W152" s="59">
        <v>8.9</v>
      </c>
      <c r="X152" s="59">
        <f t="shared" si="22"/>
        <v>112.80393594380638</v>
      </c>
      <c r="Y152" s="59">
        <v>8.9</v>
      </c>
      <c r="Z152" s="59">
        <f t="shared" si="23"/>
        <v>225.60787188761296</v>
      </c>
    </row>
    <row r="153" spans="8:26">
      <c r="H153" s="44" t="s">
        <v>370</v>
      </c>
      <c r="I153" s="57">
        <v>2.2999999999999998</v>
      </c>
      <c r="J153" s="57">
        <v>7</v>
      </c>
      <c r="S153" s="59">
        <v>8.9600000000000009</v>
      </c>
      <c r="T153" s="59">
        <f t="shared" si="20"/>
        <v>36.219158987994206</v>
      </c>
      <c r="U153" s="59">
        <v>8.9600000000000009</v>
      </c>
      <c r="V153" s="59">
        <f t="shared" si="21"/>
        <v>72.43831797598844</v>
      </c>
      <c r="W153" s="59">
        <v>8.9600000000000009</v>
      </c>
      <c r="X153" s="59">
        <f t="shared" si="22"/>
        <v>113.61659714280258</v>
      </c>
      <c r="Y153" s="59">
        <v>8.9600000000000009</v>
      </c>
      <c r="Z153" s="59">
        <f t="shared" si="23"/>
        <v>227.23319428560495</v>
      </c>
    </row>
    <row r="154" spans="8:26">
      <c r="H154" s="44" t="s">
        <v>372</v>
      </c>
      <c r="I154" s="57">
        <v>2.4</v>
      </c>
      <c r="J154" s="57">
        <v>12.2</v>
      </c>
      <c r="S154" s="59">
        <v>9.02</v>
      </c>
      <c r="T154" s="59">
        <f t="shared" si="20"/>
        <v>36.460246640622735</v>
      </c>
      <c r="U154" s="59">
        <v>9.02</v>
      </c>
      <c r="V154" s="59">
        <f t="shared" si="21"/>
        <v>72.920493281245442</v>
      </c>
      <c r="W154" s="59">
        <v>9.02</v>
      </c>
      <c r="X154" s="59">
        <f t="shared" si="22"/>
        <v>114.42963052730461</v>
      </c>
      <c r="Y154" s="59">
        <v>9.02</v>
      </c>
      <c r="Z154" s="59">
        <f t="shared" si="23"/>
        <v>228.85926105460905</v>
      </c>
    </row>
    <row r="155" spans="8:26">
      <c r="H155" s="44" t="s">
        <v>374</v>
      </c>
      <c r="I155" s="57">
        <v>2</v>
      </c>
      <c r="J155" s="57">
        <v>7.9</v>
      </c>
      <c r="S155" s="59">
        <v>9.08</v>
      </c>
      <c r="T155" s="59">
        <f t="shared" si="20"/>
        <v>36.701324728635022</v>
      </c>
      <c r="U155" s="59">
        <v>9.08</v>
      </c>
      <c r="V155" s="59">
        <f t="shared" si="21"/>
        <v>73.402649457270073</v>
      </c>
      <c r="W155" s="59">
        <v>9.08</v>
      </c>
      <c r="X155" s="59">
        <f t="shared" si="22"/>
        <v>115.24303379029985</v>
      </c>
      <c r="Y155" s="59">
        <v>9.08</v>
      </c>
      <c r="Z155" s="59">
        <f t="shared" si="23"/>
        <v>230.48606758059972</v>
      </c>
    </row>
    <row r="156" spans="8:26">
      <c r="H156" s="44" t="s">
        <v>376</v>
      </c>
      <c r="I156" s="57">
        <v>1.5</v>
      </c>
      <c r="J156" s="57">
        <v>12.9</v>
      </c>
      <c r="S156" s="59">
        <v>9.14</v>
      </c>
      <c r="T156" s="59">
        <f t="shared" si="20"/>
        <v>36.942393315610083</v>
      </c>
      <c r="U156" s="59">
        <v>9.14</v>
      </c>
      <c r="V156" s="59">
        <f t="shared" si="21"/>
        <v>73.884786631220067</v>
      </c>
      <c r="W156" s="59">
        <v>9.14</v>
      </c>
      <c r="X156" s="59">
        <f t="shared" si="22"/>
        <v>116.05680465422938</v>
      </c>
      <c r="Y156" s="59">
        <v>9.14</v>
      </c>
      <c r="Z156" s="59">
        <f t="shared" si="23"/>
        <v>232.11360930845876</v>
      </c>
    </row>
    <row r="157" spans="8:26">
      <c r="H157" s="44" t="s">
        <v>192</v>
      </c>
      <c r="I157" s="57">
        <v>6.8</v>
      </c>
      <c r="J157" s="57">
        <v>15.9</v>
      </c>
      <c r="S157" s="59">
        <v>9.1999999999999993</v>
      </c>
      <c r="T157" s="59">
        <f t="shared" si="20"/>
        <v>37.183452464289559</v>
      </c>
      <c r="U157" s="59">
        <v>9.1999999999999993</v>
      </c>
      <c r="V157" s="59">
        <f t="shared" si="21"/>
        <v>74.366904928579018</v>
      </c>
      <c r="W157" s="59">
        <v>9.1999999999999993</v>
      </c>
      <c r="X157" s="59">
        <f t="shared" si="22"/>
        <v>116.87094087042182</v>
      </c>
      <c r="Y157" s="59">
        <v>9.1999999999999993</v>
      </c>
      <c r="Z157" s="59">
        <f t="shared" si="23"/>
        <v>233.74188174084347</v>
      </c>
    </row>
    <row r="158" spans="8:26">
      <c r="H158" s="44" t="s">
        <v>194</v>
      </c>
      <c r="I158" s="57">
        <v>8.3000000000000007</v>
      </c>
      <c r="J158" s="57">
        <v>11.2</v>
      </c>
      <c r="S158" s="59">
        <v>9.26</v>
      </c>
      <c r="T158" s="59">
        <f t="shared" si="20"/>
        <v>37.424502236594329</v>
      </c>
      <c r="U158" s="59">
        <v>9.26</v>
      </c>
      <c r="V158" s="59">
        <f t="shared" si="21"/>
        <v>74.849004473188629</v>
      </c>
      <c r="W158" s="59">
        <v>9.26</v>
      </c>
      <c r="X158" s="59">
        <f t="shared" si="22"/>
        <v>117.68544021854021</v>
      </c>
      <c r="Y158" s="59">
        <v>9.26</v>
      </c>
      <c r="Z158" s="59">
        <f t="shared" si="23"/>
        <v>235.37088043708044</v>
      </c>
    </row>
    <row r="159" spans="8:26">
      <c r="H159" s="44" t="s">
        <v>196</v>
      </c>
      <c r="I159" s="57">
        <v>5</v>
      </c>
      <c r="J159" s="57">
        <v>20</v>
      </c>
      <c r="S159" s="59">
        <v>9.32</v>
      </c>
      <c r="T159" s="59">
        <f t="shared" si="20"/>
        <v>37.66554269364056</v>
      </c>
      <c r="U159" s="59">
        <v>9.32</v>
      </c>
      <c r="V159" s="59">
        <f t="shared" si="21"/>
        <v>75.331085387281092</v>
      </c>
      <c r="W159" s="59">
        <v>9.32</v>
      </c>
      <c r="X159" s="59">
        <f t="shared" si="22"/>
        <v>118.50030050604404</v>
      </c>
      <c r="Y159" s="59">
        <v>9.32</v>
      </c>
      <c r="Z159" s="59">
        <f t="shared" si="23"/>
        <v>237.00060101208831</v>
      </c>
    </row>
    <row r="160" spans="8:26">
      <c r="H160" s="44" t="s">
        <v>424</v>
      </c>
      <c r="I160" s="57">
        <v>2</v>
      </c>
      <c r="J160" s="57">
        <v>7.6</v>
      </c>
      <c r="S160" s="59">
        <v>9.3800000000000008</v>
      </c>
      <c r="T160" s="59">
        <f t="shared" si="20"/>
        <v>37.906573895755017</v>
      </c>
      <c r="U160" s="59">
        <v>9.3800000000000008</v>
      </c>
      <c r="V160" s="59">
        <f t="shared" si="21"/>
        <v>75.813147791509962</v>
      </c>
      <c r="W160" s="59">
        <v>9.3800000000000008</v>
      </c>
      <c r="X160" s="59">
        <f t="shared" si="22"/>
        <v>119.31551956766424</v>
      </c>
      <c r="Y160" s="59">
        <v>9.3800000000000008</v>
      </c>
      <c r="Z160" s="59">
        <f t="shared" si="23"/>
        <v>238.63103913532851</v>
      </c>
    </row>
    <row r="161" spans="8:26">
      <c r="H161" s="44" t="s">
        <v>426</v>
      </c>
      <c r="I161" s="57">
        <v>2.5</v>
      </c>
      <c r="J161" s="57" t="s">
        <v>1</v>
      </c>
      <c r="S161" s="59">
        <v>9.44</v>
      </c>
      <c r="T161" s="59">
        <f t="shared" si="20"/>
        <v>38.147595902490458</v>
      </c>
      <c r="U161" s="59">
        <v>9.44</v>
      </c>
      <c r="V161" s="59">
        <f t="shared" si="21"/>
        <v>76.295191804980846</v>
      </c>
      <c r="W161" s="59">
        <v>9.44</v>
      </c>
      <c r="X161" s="59">
        <f t="shared" si="22"/>
        <v>120.13109526489193</v>
      </c>
      <c r="Y161" s="59">
        <v>9.44</v>
      </c>
      <c r="Z161" s="59">
        <f t="shared" si="23"/>
        <v>240.26219052978365</v>
      </c>
    </row>
    <row r="162" spans="8:26">
      <c r="H162" s="44" t="s">
        <v>428</v>
      </c>
      <c r="I162" s="57">
        <v>3.2</v>
      </c>
      <c r="J162" s="57">
        <v>16</v>
      </c>
      <c r="S162" s="59">
        <v>9.5</v>
      </c>
      <c r="T162" s="59">
        <f t="shared" si="20"/>
        <v>38.388608772640353</v>
      </c>
      <c r="U162" s="59">
        <v>9.5</v>
      </c>
      <c r="V162" s="59">
        <f t="shared" si="21"/>
        <v>76.777217545280649</v>
      </c>
      <c r="W162" s="59">
        <v>9.5</v>
      </c>
      <c r="X162" s="59">
        <f t="shared" si="22"/>
        <v>120.94702548547923</v>
      </c>
      <c r="Y162" s="59">
        <v>9.5</v>
      </c>
      <c r="Z162" s="59">
        <f t="shared" si="23"/>
        <v>241.89405097095849</v>
      </c>
    </row>
    <row r="163" spans="8:26">
      <c r="H163" s="44" t="s">
        <v>299</v>
      </c>
      <c r="I163" s="57">
        <v>1.6</v>
      </c>
      <c r="J163" s="57" t="s">
        <v>1</v>
      </c>
      <c r="S163" s="59">
        <v>9.56</v>
      </c>
      <c r="T163" s="59">
        <f t="shared" si="20"/>
        <v>38.629612564253257</v>
      </c>
      <c r="U163" s="59">
        <v>9.56</v>
      </c>
      <c r="V163" s="59">
        <f t="shared" si="21"/>
        <v>77.259225128506557</v>
      </c>
      <c r="W163" s="59">
        <v>9.56</v>
      </c>
      <c r="X163" s="59">
        <f t="shared" si="22"/>
        <v>121.76330814295365</v>
      </c>
      <c r="Y163" s="59">
        <v>9.56</v>
      </c>
      <c r="Z163" s="59">
        <f t="shared" si="23"/>
        <v>243.52661628590752</v>
      </c>
    </row>
    <row r="164" spans="8:26">
      <c r="H164" s="44" t="s">
        <v>378</v>
      </c>
      <c r="I164" s="57">
        <v>1.5</v>
      </c>
      <c r="J164" s="57">
        <v>11.6</v>
      </c>
      <c r="S164" s="59">
        <v>9.6199999999999992</v>
      </c>
      <c r="T164" s="59">
        <f t="shared" si="20"/>
        <v>38.870607334647055</v>
      </c>
      <c r="U164" s="59">
        <v>9.6199999999999992</v>
      </c>
      <c r="V164" s="59">
        <f t="shared" si="21"/>
        <v>77.741214669294081</v>
      </c>
      <c r="W164" s="59">
        <v>9.6199999999999992</v>
      </c>
      <c r="X164" s="59">
        <f t="shared" si="22"/>
        <v>122.57994117614301</v>
      </c>
      <c r="Y164" s="59">
        <v>9.6199999999999992</v>
      </c>
      <c r="Z164" s="59">
        <f t="shared" si="23"/>
        <v>245.15988235228605</v>
      </c>
    </row>
    <row r="165" spans="8:26">
      <c r="H165" s="44" t="s">
        <v>250</v>
      </c>
      <c r="I165" s="57">
        <v>1</v>
      </c>
      <c r="J165" s="57">
        <v>33.299999999999997</v>
      </c>
      <c r="S165" s="59">
        <v>9.68</v>
      </c>
      <c r="T165" s="59">
        <f t="shared" si="20"/>
        <v>39.111593140422286</v>
      </c>
      <c r="U165" s="59">
        <v>9.68</v>
      </c>
      <c r="V165" s="59">
        <f t="shared" si="21"/>
        <v>78.223186280844573</v>
      </c>
      <c r="W165" s="59">
        <v>9.68</v>
      </c>
      <c r="X165" s="59">
        <f t="shared" si="22"/>
        <v>123.39692254871302</v>
      </c>
      <c r="Y165" s="59">
        <v>9.68</v>
      </c>
      <c r="Z165" s="59">
        <f t="shared" si="23"/>
        <v>246.79384509742604</v>
      </c>
    </row>
    <row r="166" spans="8:26">
      <c r="H166" s="44" t="s">
        <v>380</v>
      </c>
      <c r="I166" s="57">
        <v>2.8</v>
      </c>
      <c r="J166" s="57">
        <v>4.3</v>
      </c>
      <c r="S166" s="59">
        <v>9.74</v>
      </c>
      <c r="T166" s="59">
        <f t="shared" si="20"/>
        <v>39.352570037475971</v>
      </c>
      <c r="U166" s="59">
        <v>9.74</v>
      </c>
      <c r="V166" s="59">
        <f t="shared" si="21"/>
        <v>78.705140074951842</v>
      </c>
      <c r="W166" s="59">
        <v>9.74</v>
      </c>
      <c r="X166" s="59">
        <f t="shared" si="22"/>
        <v>124.21425024871577</v>
      </c>
      <c r="Y166" s="59">
        <v>9.74</v>
      </c>
      <c r="Z166" s="59">
        <f t="shared" si="23"/>
        <v>248.42850049743157</v>
      </c>
    </row>
    <row r="167" spans="8:26">
      <c r="H167" s="44" t="s">
        <v>198</v>
      </c>
      <c r="I167" s="57">
        <v>1.7</v>
      </c>
      <c r="J167" s="57">
        <v>5.9</v>
      </c>
      <c r="S167" s="59">
        <v>9.8000000000000007</v>
      </c>
      <c r="T167" s="59">
        <f t="shared" si="20"/>
        <v>39.593538081014209</v>
      </c>
      <c r="U167" s="59">
        <v>9.8000000000000007</v>
      </c>
      <c r="V167" s="59">
        <f t="shared" si="21"/>
        <v>79.187076162028319</v>
      </c>
      <c r="W167" s="59">
        <v>9.8000000000000007</v>
      </c>
      <c r="X167" s="59">
        <f t="shared" si="22"/>
        <v>125.03192228814945</v>
      </c>
      <c r="Y167" s="59">
        <v>9.8000000000000007</v>
      </c>
      <c r="Z167" s="59">
        <f t="shared" si="23"/>
        <v>250.06384457629892</v>
      </c>
    </row>
    <row r="168" spans="8:26">
      <c r="H168" s="557" t="s">
        <v>1086</v>
      </c>
      <c r="I168" s="558">
        <v>1</v>
      </c>
      <c r="J168" s="558">
        <v>6.7</v>
      </c>
      <c r="S168" s="59">
        <v>9.86</v>
      </c>
      <c r="T168" s="59">
        <f t="shared" si="20"/>
        <v>39.834497325565195</v>
      </c>
      <c r="U168" s="59">
        <v>9.86</v>
      </c>
      <c r="V168" s="59">
        <f t="shared" si="21"/>
        <v>79.668994651130333</v>
      </c>
      <c r="W168" s="59">
        <v>9.86</v>
      </c>
      <c r="X168" s="59">
        <f t="shared" si="22"/>
        <v>125.84993670252807</v>
      </c>
      <c r="Y168" s="59">
        <v>9.86</v>
      </c>
      <c r="Z168" s="59">
        <f t="shared" si="23"/>
        <v>251.69987340505614</v>
      </c>
    </row>
    <row r="169" spans="8:26">
      <c r="H169" s="557" t="s">
        <v>1087</v>
      </c>
      <c r="I169" s="558">
        <v>1</v>
      </c>
      <c r="J169" s="558">
        <v>10.6</v>
      </c>
      <c r="S169" s="59">
        <v>9.92</v>
      </c>
      <c r="T169" s="59">
        <f t="shared" si="20"/>
        <v>40.075447824991514</v>
      </c>
      <c r="U169" s="59">
        <v>9.92</v>
      </c>
      <c r="V169" s="59">
        <f t="shared" si="21"/>
        <v>80.150895649982957</v>
      </c>
      <c r="W169" s="59">
        <v>9.92</v>
      </c>
      <c r="X169" s="59">
        <f t="shared" si="22"/>
        <v>126.66829155046207</v>
      </c>
      <c r="Y169" s="59">
        <v>9.92</v>
      </c>
      <c r="Z169" s="59">
        <f t="shared" si="23"/>
        <v>253.33658310092395</v>
      </c>
    </row>
    <row r="170" spans="8:26">
      <c r="H170" s="557" t="s">
        <v>1088</v>
      </c>
      <c r="I170" s="558">
        <v>2</v>
      </c>
      <c r="J170" s="558">
        <v>6.7</v>
      </c>
      <c r="S170" s="59">
        <v>9.98</v>
      </c>
      <c r="T170" s="59">
        <f t="shared" si="20"/>
        <v>40.316389632502229</v>
      </c>
      <c r="U170" s="59">
        <v>9.98</v>
      </c>
      <c r="V170" s="59">
        <f t="shared" si="21"/>
        <v>80.632779265004388</v>
      </c>
      <c r="W170" s="59">
        <v>9.98</v>
      </c>
      <c r="X170" s="59">
        <f t="shared" si="22"/>
        <v>127.4869849132489</v>
      </c>
      <c r="Y170" s="59">
        <v>9.98</v>
      </c>
      <c r="Z170" s="59">
        <f t="shared" si="23"/>
        <v>254.97396982649761</v>
      </c>
    </row>
    <row r="171" spans="8:26">
      <c r="H171" s="557" t="s">
        <v>1089</v>
      </c>
      <c r="I171" s="558">
        <v>2</v>
      </c>
      <c r="J171" s="558">
        <v>10.6</v>
      </c>
      <c r="S171" s="59">
        <v>10</v>
      </c>
      <c r="T171" s="59">
        <f t="shared" si="20"/>
        <v>40.39670164590629</v>
      </c>
      <c r="U171" s="59">
        <v>10</v>
      </c>
      <c r="V171" s="59">
        <f t="shared" si="21"/>
        <v>80.793403291812595</v>
      </c>
      <c r="W171" s="59">
        <v>10</v>
      </c>
      <c r="X171" s="59">
        <f t="shared" si="22"/>
        <v>127.75995759795703</v>
      </c>
      <c r="Y171" s="59">
        <v>10</v>
      </c>
      <c r="Z171" s="59">
        <f t="shared" si="23"/>
        <v>255.51991519591408</v>
      </c>
    </row>
    <row r="172" spans="8:26">
      <c r="H172" s="44" t="s">
        <v>200</v>
      </c>
      <c r="I172" s="57">
        <v>5.5</v>
      </c>
      <c r="J172" s="57">
        <v>25</v>
      </c>
    </row>
    <row r="173" spans="8:26">
      <c r="H173" s="44" t="s">
        <v>260</v>
      </c>
      <c r="I173" s="57">
        <v>1.5</v>
      </c>
      <c r="J173" s="57">
        <v>11</v>
      </c>
    </row>
    <row r="174" spans="8:26">
      <c r="H174" s="44" t="s">
        <v>430</v>
      </c>
      <c r="I174" s="57">
        <v>2.2999999999999998</v>
      </c>
      <c r="J174" s="57">
        <v>18.899999999999999</v>
      </c>
    </row>
    <row r="175" spans="8:26">
      <c r="H175" s="44" t="s">
        <v>382</v>
      </c>
      <c r="I175" s="57">
        <v>2.4</v>
      </c>
      <c r="J175" s="57">
        <v>20.399999999999999</v>
      </c>
    </row>
    <row r="176" spans="8:26">
      <c r="H176" s="44" t="s">
        <v>384</v>
      </c>
      <c r="I176" s="57">
        <v>3</v>
      </c>
      <c r="J176" s="57">
        <v>11.1</v>
      </c>
    </row>
    <row r="177" spans="8:10">
      <c r="H177" s="44" t="s">
        <v>386</v>
      </c>
      <c r="I177" s="57">
        <v>5</v>
      </c>
      <c r="J177" s="57">
        <v>10</v>
      </c>
    </row>
    <row r="178" spans="8:10">
      <c r="H178" s="44" t="s">
        <v>432</v>
      </c>
      <c r="I178" s="57">
        <v>0.9</v>
      </c>
      <c r="J178" s="57">
        <v>9</v>
      </c>
    </row>
    <row r="179" spans="8:10">
      <c r="H179" s="44" t="s">
        <v>388</v>
      </c>
      <c r="I179" s="57">
        <v>8.5</v>
      </c>
      <c r="J179" s="57">
        <v>12.4</v>
      </c>
    </row>
    <row r="180" spans="8:10">
      <c r="H180" s="44" t="s">
        <v>301</v>
      </c>
      <c r="I180" s="57">
        <v>1.4</v>
      </c>
      <c r="J180" s="57">
        <v>13.2</v>
      </c>
    </row>
    <row r="181" spans="8:10">
      <c r="H181" s="44" t="s">
        <v>202</v>
      </c>
      <c r="I181" s="57">
        <v>6</v>
      </c>
      <c r="J181" s="57">
        <v>7.1</v>
      </c>
    </row>
    <row r="182" spans="8:10">
      <c r="H182" s="44" t="s">
        <v>204</v>
      </c>
      <c r="I182" s="57">
        <v>5.7</v>
      </c>
      <c r="J182" s="57">
        <v>5.4</v>
      </c>
    </row>
    <row r="183" spans="8:10" ht="23">
      <c r="H183" s="44" t="s">
        <v>390</v>
      </c>
      <c r="I183" s="57">
        <v>3.5</v>
      </c>
      <c r="J183" s="57">
        <v>4</v>
      </c>
    </row>
    <row r="184" spans="8:10" ht="23">
      <c r="H184" s="44" t="s">
        <v>392</v>
      </c>
      <c r="I184" s="57">
        <v>7.5</v>
      </c>
      <c r="J184" s="57">
        <v>6.9</v>
      </c>
    </row>
    <row r="185" spans="8:10">
      <c r="H185" s="44" t="s">
        <v>394</v>
      </c>
      <c r="I185" s="57">
        <v>7.5</v>
      </c>
      <c r="J185" s="57">
        <v>4.2</v>
      </c>
    </row>
    <row r="186" spans="8:10">
      <c r="H186" s="44" t="s">
        <v>303</v>
      </c>
      <c r="I186" s="57">
        <v>1.5</v>
      </c>
      <c r="J186" s="57">
        <v>13.3</v>
      </c>
    </row>
    <row r="187" spans="8:10" ht="15" thickBot="1">
      <c r="H187" s="38" t="s">
        <v>434</v>
      </c>
      <c r="I187" s="39">
        <v>4.7</v>
      </c>
      <c r="J187" s="39">
        <v>9.4</v>
      </c>
    </row>
    <row r="188" spans="8:10">
      <c r="H188">
        <f>'Plants by Category'!B154</f>
        <v>0</v>
      </c>
      <c r="I188" s="5">
        <f>'Plants by Category'!D154</f>
        <v>0</v>
      </c>
      <c r="J188" s="730">
        <f>'Plants by Category'!E154</f>
        <v>0</v>
      </c>
    </row>
    <row r="189" spans="8:10">
      <c r="H189" s="730">
        <f>'Plants by Category'!B155</f>
        <v>0</v>
      </c>
      <c r="I189" s="730">
        <f>'Plants by Category'!D155</f>
        <v>0</v>
      </c>
      <c r="J189" s="730">
        <f>'Plants by Category'!E155</f>
        <v>0</v>
      </c>
    </row>
    <row r="190" spans="8:10">
      <c r="H190" s="730">
        <f>'Plants by Category'!B156</f>
        <v>0</v>
      </c>
      <c r="I190" s="730">
        <f>'Plants by Category'!D156</f>
        <v>0</v>
      </c>
      <c r="J190" s="730">
        <f>'Plants by Category'!E156</f>
        <v>0</v>
      </c>
    </row>
    <row r="191" spans="8:10">
      <c r="H191" s="730">
        <f>'Plants by Category'!B157</f>
        <v>0</v>
      </c>
      <c r="I191" s="730">
        <f>'Plants by Category'!D157</f>
        <v>0</v>
      </c>
      <c r="J191" s="730">
        <f>'Plants by Category'!E157</f>
        <v>0</v>
      </c>
    </row>
    <row r="192" spans="8:10">
      <c r="H192" s="730">
        <f>'Plants by Category'!B158</f>
        <v>0</v>
      </c>
      <c r="I192" s="730">
        <f>'Plants by Category'!D158</f>
        <v>0</v>
      </c>
      <c r="J192" s="730">
        <f>'Plants by Category'!E158</f>
        <v>0</v>
      </c>
    </row>
  </sheetData>
  <sortState xmlns:xlrd2="http://schemas.microsoft.com/office/spreadsheetml/2017/richdata2" ref="A133:AA177">
    <sortCondition ref="A133:A177"/>
  </sortState>
  <mergeCells count="2">
    <mergeCell ref="I44:I46"/>
    <mergeCell ref="J44: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B92"/>
  <sheetViews>
    <sheetView workbookViewId="0">
      <selection activeCell="T25" sqref="T25"/>
    </sheetView>
  </sheetViews>
  <sheetFormatPr defaultRowHeight="14.5"/>
  <cols>
    <col min="1" max="1" width="4.453125" style="46" customWidth="1"/>
    <col min="5" max="5" width="10.54296875" customWidth="1"/>
    <col min="20" max="20" width="61.453125" customWidth="1"/>
    <col min="21" max="21" width="4" customWidth="1"/>
  </cols>
  <sheetData>
    <row r="1" spans="2:28" ht="15" thickBot="1">
      <c r="C1" s="964" t="str">
        <f>'Front Page'!C1:D1</f>
        <v>Printed on</v>
      </c>
      <c r="D1" s="964"/>
      <c r="E1" s="965">
        <f ca="1">'Front Page'!E1:F1</f>
        <v>44610.35418101852</v>
      </c>
      <c r="F1" s="965"/>
    </row>
    <row r="2" spans="2:28" ht="28.5">
      <c r="B2" s="440" t="s">
        <v>653</v>
      </c>
      <c r="C2" s="165"/>
      <c r="D2" s="165"/>
      <c r="E2" s="165"/>
      <c r="F2" s="165"/>
      <c r="G2" s="165"/>
      <c r="H2" s="165"/>
      <c r="I2" s="197" t="s">
        <v>654</v>
      </c>
      <c r="J2" s="165"/>
      <c r="K2" s="165"/>
      <c r="L2" s="165"/>
      <c r="M2" s="165"/>
      <c r="N2" s="165"/>
      <c r="O2" s="165"/>
      <c r="P2" s="165"/>
      <c r="Q2" s="165"/>
      <c r="R2" s="165"/>
      <c r="S2" s="165"/>
      <c r="T2" s="166"/>
      <c r="U2" s="115"/>
      <c r="V2" s="115"/>
      <c r="W2" s="115"/>
      <c r="X2" s="115"/>
      <c r="Y2" s="115"/>
      <c r="Z2" s="115"/>
      <c r="AA2" s="115"/>
      <c r="AB2" s="115"/>
    </row>
    <row r="3" spans="2:28" ht="7.5" customHeight="1">
      <c r="B3" s="169"/>
      <c r="C3" s="161"/>
      <c r="D3" s="161"/>
      <c r="E3" s="161"/>
      <c r="F3" s="161"/>
      <c r="G3" s="161"/>
      <c r="H3" s="161"/>
      <c r="I3" s="161"/>
      <c r="J3" s="161"/>
      <c r="K3" s="161"/>
      <c r="L3" s="161"/>
      <c r="M3" s="161"/>
      <c r="N3" s="161"/>
      <c r="O3" s="161"/>
      <c r="P3" s="161"/>
      <c r="Q3" s="161"/>
      <c r="R3" s="161"/>
      <c r="S3" s="161"/>
      <c r="T3" s="168"/>
      <c r="U3" s="115"/>
      <c r="V3" s="115"/>
      <c r="W3" s="115"/>
      <c r="X3" s="115"/>
      <c r="Y3" s="115"/>
      <c r="Z3" s="115"/>
      <c r="AA3" s="115"/>
      <c r="AB3" s="115"/>
    </row>
    <row r="4" spans="2:28" ht="21">
      <c r="B4" s="314" t="s">
        <v>665</v>
      </c>
      <c r="C4" s="161"/>
      <c r="D4" s="161"/>
      <c r="E4" s="161"/>
      <c r="F4" s="161"/>
      <c r="G4" s="161"/>
      <c r="H4" s="161"/>
      <c r="I4" s="161"/>
      <c r="J4" s="161"/>
      <c r="K4" s="161"/>
      <c r="L4" s="161"/>
      <c r="M4" s="161"/>
      <c r="N4" s="161"/>
      <c r="O4" s="161"/>
      <c r="P4" s="161"/>
      <c r="Q4" s="161"/>
      <c r="R4" s="161"/>
      <c r="S4" s="161"/>
      <c r="T4" s="168"/>
      <c r="U4" s="115"/>
      <c r="V4" s="115"/>
      <c r="W4" s="115"/>
      <c r="X4" s="115"/>
      <c r="Y4" s="115"/>
      <c r="Z4" s="115"/>
      <c r="AA4" s="115"/>
      <c r="AB4" s="115"/>
    </row>
    <row r="5" spans="2:28" ht="6" customHeight="1">
      <c r="B5" s="314"/>
      <c r="C5" s="161"/>
      <c r="D5" s="161"/>
      <c r="E5" s="161"/>
      <c r="F5" s="161"/>
      <c r="G5" s="161"/>
      <c r="H5" s="161"/>
      <c r="I5" s="161"/>
      <c r="J5" s="161"/>
      <c r="K5" s="161"/>
      <c r="L5" s="161"/>
      <c r="M5" s="161"/>
      <c r="N5" s="161"/>
      <c r="O5" s="161"/>
      <c r="P5" s="161"/>
      <c r="Q5" s="161"/>
      <c r="R5" s="161"/>
      <c r="S5" s="161"/>
      <c r="T5" s="168"/>
      <c r="U5" s="115"/>
      <c r="V5" s="115"/>
      <c r="W5" s="115"/>
      <c r="X5" s="115"/>
      <c r="Y5" s="115"/>
      <c r="Z5" s="115"/>
      <c r="AA5" s="115"/>
      <c r="AB5" s="115"/>
    </row>
    <row r="6" spans="2:28" ht="36" customHeight="1">
      <c r="B6" s="968" t="s">
        <v>1409</v>
      </c>
      <c r="C6" s="962"/>
      <c r="D6" s="962"/>
      <c r="E6" s="962"/>
      <c r="F6" s="962"/>
      <c r="G6" s="962"/>
      <c r="H6" s="962"/>
      <c r="I6" s="962"/>
      <c r="J6" s="962"/>
      <c r="K6" s="962"/>
      <c r="L6" s="962"/>
      <c r="M6" s="962"/>
      <c r="N6" s="962"/>
      <c r="O6" s="962"/>
      <c r="P6" s="962"/>
      <c r="Q6" s="962"/>
      <c r="R6" s="962"/>
      <c r="S6" s="962"/>
      <c r="T6" s="963"/>
      <c r="U6" s="115"/>
      <c r="V6" s="115"/>
      <c r="W6" s="115"/>
      <c r="X6" s="115"/>
      <c r="Y6" s="115"/>
      <c r="Z6" s="115"/>
      <c r="AA6" s="115"/>
      <c r="AB6" s="115"/>
    </row>
    <row r="7" spans="2:28" ht="16.5" customHeight="1">
      <c r="B7" s="969" t="s">
        <v>667</v>
      </c>
      <c r="C7" s="966"/>
      <c r="D7" s="966"/>
      <c r="E7" s="966"/>
      <c r="F7" s="966"/>
      <c r="G7" s="966"/>
      <c r="H7" s="966"/>
      <c r="I7" s="966"/>
      <c r="J7" s="966"/>
      <c r="K7" s="966"/>
      <c r="L7" s="966"/>
      <c r="M7" s="966"/>
      <c r="N7" s="966"/>
      <c r="O7" s="966"/>
      <c r="P7" s="966"/>
      <c r="Q7" s="966"/>
      <c r="R7" s="966"/>
      <c r="S7" s="966"/>
      <c r="T7" s="967"/>
      <c r="U7" s="115"/>
      <c r="V7" s="115"/>
      <c r="W7" s="115"/>
      <c r="X7" s="115"/>
      <c r="Y7" s="115"/>
      <c r="Z7" s="115"/>
      <c r="AA7" s="115"/>
      <c r="AB7" s="115"/>
    </row>
    <row r="8" spans="2:28" ht="34.5" customHeight="1">
      <c r="B8" s="968" t="s">
        <v>937</v>
      </c>
      <c r="C8" s="962"/>
      <c r="D8" s="962"/>
      <c r="E8" s="962"/>
      <c r="F8" s="962"/>
      <c r="G8" s="962"/>
      <c r="H8" s="962"/>
      <c r="I8" s="962"/>
      <c r="J8" s="962"/>
      <c r="K8" s="962"/>
      <c r="L8" s="962"/>
      <c r="M8" s="962"/>
      <c r="N8" s="962"/>
      <c r="O8" s="962"/>
      <c r="P8" s="962"/>
      <c r="Q8" s="962"/>
      <c r="R8" s="962"/>
      <c r="S8" s="962"/>
      <c r="T8" s="963"/>
      <c r="U8" s="115"/>
      <c r="V8" s="115"/>
      <c r="W8" s="115"/>
      <c r="X8" s="115"/>
      <c r="Y8" s="115"/>
      <c r="Z8" s="115"/>
      <c r="AA8" s="115"/>
      <c r="AB8" s="115"/>
    </row>
    <row r="9" spans="2:28" ht="34.5" customHeight="1">
      <c r="B9" s="968" t="s">
        <v>936</v>
      </c>
      <c r="C9" s="962"/>
      <c r="D9" s="962"/>
      <c r="E9" s="962"/>
      <c r="F9" s="962"/>
      <c r="G9" s="962"/>
      <c r="H9" s="962"/>
      <c r="I9" s="962"/>
      <c r="J9" s="962"/>
      <c r="K9" s="962"/>
      <c r="L9" s="962"/>
      <c r="M9" s="962"/>
      <c r="N9" s="962"/>
      <c r="O9" s="962"/>
      <c r="P9" s="962"/>
      <c r="Q9" s="962"/>
      <c r="R9" s="962"/>
      <c r="S9" s="962"/>
      <c r="T9" s="963"/>
      <c r="U9" s="115"/>
      <c r="V9" s="115"/>
      <c r="W9" s="115"/>
      <c r="X9" s="115"/>
      <c r="Y9" s="115"/>
      <c r="Z9" s="115"/>
      <c r="AA9" s="115"/>
      <c r="AB9" s="115"/>
    </row>
    <row r="10" spans="2:28" ht="6.75" customHeight="1">
      <c r="B10" s="169"/>
      <c r="C10" s="161"/>
      <c r="D10" s="161"/>
      <c r="E10" s="161"/>
      <c r="F10" s="161"/>
      <c r="G10" s="161"/>
      <c r="H10" s="161"/>
      <c r="I10" s="161"/>
      <c r="J10" s="161"/>
      <c r="K10" s="161"/>
      <c r="L10" s="161"/>
      <c r="M10" s="161"/>
      <c r="N10" s="161"/>
      <c r="O10" s="161"/>
      <c r="P10" s="161"/>
      <c r="Q10" s="161"/>
      <c r="R10" s="161"/>
      <c r="S10" s="161"/>
      <c r="T10" s="168"/>
      <c r="U10" s="115"/>
      <c r="V10" s="115"/>
      <c r="W10" s="115"/>
      <c r="X10" s="115"/>
      <c r="Y10" s="115"/>
      <c r="Z10" s="115"/>
      <c r="AA10" s="115"/>
      <c r="AB10" s="115"/>
    </row>
    <row r="11" spans="2:28" ht="21">
      <c r="B11" s="314" t="s">
        <v>666</v>
      </c>
      <c r="C11" s="161"/>
      <c r="D11" s="161"/>
      <c r="E11" s="161"/>
      <c r="F11" s="161"/>
      <c r="G11" s="161"/>
      <c r="H11" s="161"/>
      <c r="I11" s="161"/>
      <c r="J11" s="161"/>
      <c r="K11" s="161"/>
      <c r="L11" s="161"/>
      <c r="M11" s="161"/>
      <c r="N11" s="161"/>
      <c r="O11" s="161"/>
      <c r="P11" s="161"/>
      <c r="Q11" s="161"/>
      <c r="R11" s="161"/>
      <c r="S11" s="161"/>
      <c r="T11" s="168"/>
      <c r="U11" s="115"/>
      <c r="V11" s="115"/>
      <c r="W11" s="115"/>
      <c r="X11" s="115"/>
      <c r="Y11" s="115"/>
      <c r="Z11" s="115"/>
      <c r="AA11" s="115"/>
      <c r="AB11" s="115"/>
    </row>
    <row r="12" spans="2:28" ht="33.75" customHeight="1">
      <c r="B12" s="441">
        <v>1</v>
      </c>
      <c r="C12" s="962" t="s">
        <v>1410</v>
      </c>
      <c r="D12" s="962"/>
      <c r="E12" s="962"/>
      <c r="F12" s="962"/>
      <c r="G12" s="962"/>
      <c r="H12" s="962"/>
      <c r="I12" s="962"/>
      <c r="J12" s="962"/>
      <c r="K12" s="962"/>
      <c r="L12" s="962"/>
      <c r="M12" s="962"/>
      <c r="N12" s="962"/>
      <c r="O12" s="962"/>
      <c r="P12" s="962"/>
      <c r="Q12" s="962"/>
      <c r="R12" s="962"/>
      <c r="S12" s="962"/>
      <c r="T12" s="963"/>
      <c r="U12" s="115"/>
      <c r="V12" s="115"/>
      <c r="W12" s="115"/>
      <c r="X12" s="115"/>
      <c r="Y12" s="115"/>
      <c r="Z12" s="115"/>
      <c r="AA12" s="115"/>
      <c r="AB12" s="115"/>
    </row>
    <row r="13" spans="2:28" ht="19.5" customHeight="1">
      <c r="B13" s="441">
        <v>2</v>
      </c>
      <c r="C13" s="962" t="s">
        <v>1474</v>
      </c>
      <c r="D13" s="962"/>
      <c r="E13" s="962"/>
      <c r="F13" s="962"/>
      <c r="G13" s="962"/>
      <c r="H13" s="962"/>
      <c r="I13" s="962"/>
      <c r="J13" s="962"/>
      <c r="K13" s="962"/>
      <c r="L13" s="962"/>
      <c r="M13" s="962"/>
      <c r="N13" s="962"/>
      <c r="O13" s="962"/>
      <c r="P13" s="962"/>
      <c r="Q13" s="962"/>
      <c r="R13" s="962"/>
      <c r="S13" s="962"/>
      <c r="T13" s="963"/>
      <c r="U13" s="115"/>
      <c r="V13" s="115"/>
      <c r="W13" s="115"/>
      <c r="X13" s="115"/>
      <c r="Y13" s="115"/>
      <c r="Z13" s="115"/>
      <c r="AA13" s="115"/>
      <c r="AB13" s="115"/>
    </row>
    <row r="14" spans="2:28" ht="15.5">
      <c r="B14" s="441">
        <v>3</v>
      </c>
      <c r="C14" s="966" t="s">
        <v>1411</v>
      </c>
      <c r="D14" s="966"/>
      <c r="E14" s="966"/>
      <c r="F14" s="966"/>
      <c r="G14" s="966"/>
      <c r="H14" s="966"/>
      <c r="I14" s="966"/>
      <c r="J14" s="966"/>
      <c r="K14" s="966"/>
      <c r="L14" s="966"/>
      <c r="M14" s="966"/>
      <c r="N14" s="966"/>
      <c r="O14" s="966"/>
      <c r="P14" s="966"/>
      <c r="Q14" s="966"/>
      <c r="R14" s="966"/>
      <c r="S14" s="966"/>
      <c r="T14" s="967"/>
      <c r="U14" s="115"/>
      <c r="V14" s="115"/>
      <c r="W14" s="115"/>
      <c r="X14" s="115"/>
      <c r="Y14" s="115"/>
      <c r="Z14" s="115"/>
      <c r="AA14" s="115"/>
      <c r="AB14" s="115"/>
    </row>
    <row r="15" spans="2:28" ht="18" customHeight="1">
      <c r="B15" s="441">
        <v>4</v>
      </c>
      <c r="C15" s="962" t="s">
        <v>1412</v>
      </c>
      <c r="D15" s="962"/>
      <c r="E15" s="962"/>
      <c r="F15" s="962"/>
      <c r="G15" s="962"/>
      <c r="H15" s="962"/>
      <c r="I15" s="962"/>
      <c r="J15" s="962"/>
      <c r="K15" s="962"/>
      <c r="L15" s="962"/>
      <c r="M15" s="962"/>
      <c r="N15" s="962"/>
      <c r="O15" s="962"/>
      <c r="P15" s="962"/>
      <c r="Q15" s="962"/>
      <c r="R15" s="962"/>
      <c r="S15" s="962"/>
      <c r="T15" s="963"/>
      <c r="U15" s="115"/>
      <c r="V15" s="115"/>
      <c r="W15" s="115"/>
      <c r="X15" s="115"/>
      <c r="Y15" s="115"/>
      <c r="Z15" s="115"/>
      <c r="AA15" s="115"/>
      <c r="AB15" s="115"/>
    </row>
    <row r="16" spans="2:28" ht="31.65" customHeight="1">
      <c r="B16" s="441">
        <v>5</v>
      </c>
      <c r="C16" s="962" t="s">
        <v>938</v>
      </c>
      <c r="D16" s="962"/>
      <c r="E16" s="962"/>
      <c r="F16" s="962"/>
      <c r="G16" s="962"/>
      <c r="H16" s="962"/>
      <c r="I16" s="962"/>
      <c r="J16" s="962"/>
      <c r="K16" s="962"/>
      <c r="L16" s="962"/>
      <c r="M16" s="962"/>
      <c r="N16" s="962"/>
      <c r="O16" s="962"/>
      <c r="P16" s="962"/>
      <c r="Q16" s="962"/>
      <c r="R16" s="962"/>
      <c r="S16" s="962"/>
      <c r="T16" s="963"/>
      <c r="U16" s="115"/>
      <c r="V16" s="115"/>
      <c r="W16" s="115"/>
      <c r="X16" s="115"/>
      <c r="Y16" s="115"/>
      <c r="Z16" s="115"/>
      <c r="AA16" s="115"/>
      <c r="AB16" s="115"/>
    </row>
    <row r="17" spans="2:28" ht="15.5">
      <c r="B17" s="441">
        <v>6</v>
      </c>
      <c r="C17" s="962" t="s">
        <v>940</v>
      </c>
      <c r="D17" s="962"/>
      <c r="E17" s="962"/>
      <c r="F17" s="962"/>
      <c r="G17" s="962"/>
      <c r="H17" s="962"/>
      <c r="I17" s="962"/>
      <c r="J17" s="962"/>
      <c r="K17" s="962"/>
      <c r="L17" s="962"/>
      <c r="M17" s="962"/>
      <c r="N17" s="962"/>
      <c r="O17" s="962"/>
      <c r="P17" s="962"/>
      <c r="Q17" s="962"/>
      <c r="R17" s="962"/>
      <c r="S17" s="962"/>
      <c r="T17" s="963"/>
      <c r="U17" s="115"/>
      <c r="V17" s="115"/>
      <c r="W17" s="115"/>
      <c r="X17" s="115"/>
      <c r="Y17" s="115"/>
      <c r="Z17" s="115"/>
      <c r="AA17" s="115"/>
      <c r="AB17" s="115"/>
    </row>
    <row r="18" spans="2:28" ht="15.75" customHeight="1">
      <c r="B18" s="441">
        <v>7</v>
      </c>
      <c r="C18" s="962" t="s">
        <v>939</v>
      </c>
      <c r="D18" s="962"/>
      <c r="E18" s="962"/>
      <c r="F18" s="962"/>
      <c r="G18" s="962"/>
      <c r="H18" s="962"/>
      <c r="I18" s="962"/>
      <c r="J18" s="962"/>
      <c r="K18" s="962"/>
      <c r="L18" s="962"/>
      <c r="M18" s="962"/>
      <c r="N18" s="962"/>
      <c r="O18" s="962"/>
      <c r="P18" s="962"/>
      <c r="Q18" s="962"/>
      <c r="R18" s="962"/>
      <c r="S18" s="962"/>
      <c r="T18" s="963"/>
      <c r="U18" s="115"/>
      <c r="V18" s="115"/>
      <c r="W18" s="115"/>
      <c r="X18" s="115"/>
      <c r="Y18" s="115"/>
      <c r="Z18" s="115"/>
      <c r="AA18" s="115"/>
      <c r="AB18" s="115"/>
    </row>
    <row r="19" spans="2:28" ht="19" customHeight="1">
      <c r="B19" s="441">
        <v>8</v>
      </c>
      <c r="C19" s="962" t="s">
        <v>1473</v>
      </c>
      <c r="D19" s="962"/>
      <c r="E19" s="962"/>
      <c r="F19" s="962"/>
      <c r="G19" s="962"/>
      <c r="H19" s="962"/>
      <c r="I19" s="962"/>
      <c r="J19" s="962"/>
      <c r="K19" s="962"/>
      <c r="L19" s="962"/>
      <c r="M19" s="962"/>
      <c r="N19" s="962"/>
      <c r="O19" s="962"/>
      <c r="P19" s="962"/>
      <c r="Q19" s="962"/>
      <c r="R19" s="962"/>
      <c r="S19" s="962"/>
      <c r="T19" s="963"/>
      <c r="U19" s="115"/>
      <c r="V19" s="115"/>
      <c r="W19" s="115"/>
      <c r="X19" s="115"/>
      <c r="Y19" s="115"/>
      <c r="Z19" s="115"/>
      <c r="AA19" s="115"/>
      <c r="AB19" s="115"/>
    </row>
    <row r="20" spans="2:28" ht="15.5">
      <c r="B20" s="441">
        <v>9</v>
      </c>
      <c r="C20" s="962" t="s">
        <v>941</v>
      </c>
      <c r="D20" s="962"/>
      <c r="E20" s="962"/>
      <c r="F20" s="962"/>
      <c r="G20" s="962"/>
      <c r="H20" s="962"/>
      <c r="I20" s="962"/>
      <c r="J20" s="962"/>
      <c r="K20" s="962"/>
      <c r="L20" s="962"/>
      <c r="M20" s="962"/>
      <c r="N20" s="962"/>
      <c r="O20" s="962"/>
      <c r="P20" s="962"/>
      <c r="Q20" s="962"/>
      <c r="R20" s="962"/>
      <c r="S20" s="962"/>
      <c r="T20" s="963"/>
      <c r="U20" s="115"/>
      <c r="V20" s="115"/>
      <c r="W20" s="115"/>
      <c r="X20" s="115"/>
      <c r="Y20" s="115"/>
      <c r="Z20" s="115"/>
      <c r="AA20" s="115"/>
      <c r="AB20" s="115"/>
    </row>
    <row r="21" spans="2:28" ht="9" customHeight="1">
      <c r="B21" s="314"/>
      <c r="C21" s="161"/>
      <c r="D21" s="161"/>
      <c r="E21" s="161"/>
      <c r="F21" s="161"/>
      <c r="G21" s="161"/>
      <c r="H21" s="161"/>
      <c r="I21" s="96"/>
      <c r="J21" s="161"/>
      <c r="K21" s="161"/>
      <c r="L21" s="161"/>
      <c r="M21" s="161"/>
      <c r="N21" s="161"/>
      <c r="O21" s="161"/>
      <c r="P21" s="161"/>
      <c r="Q21" s="161"/>
      <c r="R21" s="161"/>
      <c r="S21" s="161"/>
      <c r="T21" s="168"/>
      <c r="U21" s="115"/>
      <c r="V21" s="115"/>
      <c r="W21" s="115"/>
      <c r="X21" s="115"/>
      <c r="Y21" s="115"/>
      <c r="Z21" s="115"/>
      <c r="AA21" s="115"/>
      <c r="AB21" s="115"/>
    </row>
    <row r="22" spans="2:28" ht="21">
      <c r="B22" s="314" t="s">
        <v>942</v>
      </c>
      <c r="C22" s="161"/>
      <c r="D22" s="161"/>
      <c r="E22" s="161"/>
      <c r="F22" s="161"/>
      <c r="G22" s="161"/>
      <c r="H22" s="161"/>
      <c r="I22" s="161"/>
      <c r="J22" s="161"/>
      <c r="K22" s="161"/>
      <c r="L22" s="161"/>
      <c r="M22" s="161"/>
      <c r="N22" s="161"/>
      <c r="O22" s="161"/>
      <c r="P22" s="161"/>
      <c r="Q22" s="161"/>
      <c r="R22" s="161"/>
      <c r="S22" s="161"/>
      <c r="T22" s="105"/>
      <c r="U22" s="105"/>
      <c r="V22" s="105"/>
      <c r="W22" s="105"/>
      <c r="X22" s="105"/>
      <c r="Y22" s="105"/>
      <c r="Z22" s="105"/>
      <c r="AA22" s="842"/>
    </row>
    <row r="23" spans="2:28" s="878" customFormat="1">
      <c r="B23" s="1332" t="s">
        <v>1738</v>
      </c>
      <c r="C23" s="1333"/>
      <c r="D23" s="1333"/>
      <c r="E23" s="1333"/>
      <c r="F23" s="842"/>
      <c r="G23" s="842"/>
      <c r="H23" s="842"/>
      <c r="I23" s="842"/>
      <c r="J23" s="842"/>
      <c r="K23" s="842"/>
      <c r="L23" s="842"/>
      <c r="M23" s="842"/>
      <c r="N23" s="842"/>
      <c r="O23" s="842"/>
      <c r="P23" s="842"/>
      <c r="Q23" s="842"/>
      <c r="R23" s="842"/>
      <c r="S23" s="842"/>
      <c r="T23" s="168"/>
    </row>
    <row r="24" spans="2:28" s="878" customFormat="1" ht="21">
      <c r="B24" s="731" t="s">
        <v>1574</v>
      </c>
      <c r="C24" s="105" t="s">
        <v>1739</v>
      </c>
      <c r="D24" s="105"/>
      <c r="E24" s="105"/>
      <c r="F24" s="105"/>
      <c r="G24" s="105"/>
      <c r="H24" s="105"/>
      <c r="I24" s="105"/>
      <c r="R24" s="842"/>
      <c r="S24" s="842"/>
      <c r="T24" s="168" t="s">
        <v>1</v>
      </c>
    </row>
    <row r="25" spans="2:28" s="876" customFormat="1">
      <c r="B25" s="976" t="s">
        <v>1732</v>
      </c>
      <c r="C25" s="977"/>
      <c r="D25" s="977"/>
      <c r="E25" s="977"/>
      <c r="F25" s="842"/>
      <c r="G25" s="842"/>
      <c r="H25" s="842"/>
      <c r="I25" s="842"/>
      <c r="J25" s="842"/>
      <c r="K25" s="842"/>
      <c r="L25" s="842"/>
      <c r="M25" s="842"/>
      <c r="N25" s="842"/>
      <c r="O25" s="842"/>
      <c r="P25" s="842"/>
      <c r="Q25" s="842"/>
      <c r="R25" s="842"/>
      <c r="S25" s="842"/>
      <c r="T25" s="168"/>
    </row>
    <row r="26" spans="2:28" s="876" customFormat="1" ht="17" customHeight="1">
      <c r="B26" s="731" t="s">
        <v>1574</v>
      </c>
      <c r="C26" s="978" t="s">
        <v>1733</v>
      </c>
      <c r="D26" s="978"/>
      <c r="E26" s="978"/>
      <c r="F26" s="978"/>
      <c r="G26" s="978"/>
      <c r="H26" s="978"/>
      <c r="I26" s="978"/>
      <c r="J26" s="978"/>
      <c r="K26" s="978"/>
      <c r="L26" s="978"/>
      <c r="M26" s="978"/>
      <c r="N26" s="978"/>
      <c r="O26" s="978"/>
      <c r="P26" s="978"/>
      <c r="Q26" s="978"/>
      <c r="R26" s="978"/>
      <c r="S26" s="978"/>
      <c r="T26" s="979"/>
    </row>
    <row r="27" spans="2:28" s="876" customFormat="1" ht="15.5" customHeight="1">
      <c r="B27" s="731" t="s">
        <v>1574</v>
      </c>
      <c r="C27" s="978" t="s">
        <v>1734</v>
      </c>
      <c r="D27" s="978"/>
      <c r="E27" s="978"/>
      <c r="F27" s="978"/>
      <c r="G27" s="978"/>
      <c r="H27" s="978"/>
      <c r="I27" s="978"/>
      <c r="J27" s="978"/>
      <c r="K27" s="978"/>
      <c r="L27" s="978"/>
      <c r="M27" s="978"/>
      <c r="N27" s="978"/>
      <c r="O27" s="978"/>
      <c r="P27" s="978"/>
      <c r="Q27" s="978"/>
      <c r="R27" s="978"/>
      <c r="S27" s="978"/>
      <c r="T27" s="979"/>
    </row>
    <row r="28" spans="2:28" s="876" customFormat="1" ht="19.5" customHeight="1">
      <c r="B28" s="731" t="s">
        <v>1574</v>
      </c>
      <c r="C28" s="978" t="s">
        <v>1735</v>
      </c>
      <c r="D28" s="978"/>
      <c r="E28" s="978"/>
      <c r="F28" s="978"/>
      <c r="G28" s="978"/>
      <c r="H28" s="978"/>
      <c r="I28" s="978"/>
      <c r="J28" s="978"/>
      <c r="K28" s="978"/>
      <c r="L28" s="978"/>
      <c r="M28" s="978"/>
      <c r="N28" s="978"/>
      <c r="O28" s="978"/>
      <c r="P28" s="978"/>
      <c r="Q28" s="978"/>
      <c r="R28" s="978"/>
      <c r="S28" s="978"/>
      <c r="T28" s="979"/>
    </row>
    <row r="29" spans="2:28" s="769" customFormat="1">
      <c r="B29" s="167" t="s">
        <v>1722</v>
      </c>
      <c r="C29" s="161"/>
      <c r="D29" s="161"/>
      <c r="E29" s="161"/>
      <c r="F29" s="161"/>
      <c r="G29" s="161"/>
      <c r="H29" s="161"/>
      <c r="I29" s="161"/>
      <c r="J29" s="161"/>
      <c r="K29" s="161"/>
      <c r="L29" s="161"/>
      <c r="M29" s="161"/>
      <c r="N29" s="161"/>
      <c r="O29" s="161"/>
      <c r="P29" s="161"/>
      <c r="Q29" s="161"/>
      <c r="R29" s="161"/>
      <c r="S29" s="161"/>
      <c r="T29" s="168"/>
    </row>
    <row r="30" spans="2:28" s="769" customFormat="1" ht="28" customHeight="1">
      <c r="B30" s="731" t="s">
        <v>1574</v>
      </c>
      <c r="C30" s="972" t="s">
        <v>1716</v>
      </c>
      <c r="D30" s="972"/>
      <c r="E30" s="972"/>
      <c r="F30" s="972"/>
      <c r="G30" s="972"/>
      <c r="H30" s="972"/>
      <c r="I30" s="972"/>
      <c r="J30" s="972"/>
      <c r="K30" s="972"/>
      <c r="L30" s="972"/>
      <c r="M30" s="972"/>
      <c r="N30" s="972"/>
      <c r="O30" s="972"/>
      <c r="P30" s="972"/>
      <c r="Q30" s="972"/>
      <c r="R30" s="972"/>
      <c r="S30" s="972"/>
      <c r="T30" s="973"/>
    </row>
    <row r="31" spans="2:28" s="769" customFormat="1" ht="18.5" customHeight="1">
      <c r="B31" s="731" t="s">
        <v>1574</v>
      </c>
      <c r="C31" s="970" t="s">
        <v>1653</v>
      </c>
      <c r="D31" s="970"/>
      <c r="E31" s="970"/>
      <c r="F31" s="970"/>
      <c r="G31" s="970"/>
      <c r="H31" s="970"/>
      <c r="I31" s="970"/>
      <c r="J31" s="970"/>
      <c r="K31" s="970"/>
      <c r="L31" s="970"/>
      <c r="M31" s="970"/>
      <c r="N31" s="970"/>
      <c r="O31" s="970"/>
      <c r="P31" s="970"/>
      <c r="Q31" s="970"/>
      <c r="R31" s="970"/>
      <c r="S31" s="970"/>
      <c r="T31" s="971"/>
    </row>
    <row r="32" spans="2:28" s="769" customFormat="1" ht="28.5" customHeight="1">
      <c r="B32" s="731"/>
      <c r="C32" s="970" t="s">
        <v>1717</v>
      </c>
      <c r="D32" s="970"/>
      <c r="E32" s="970"/>
      <c r="F32" s="970"/>
      <c r="G32" s="970"/>
      <c r="H32" s="970"/>
      <c r="I32" s="970"/>
      <c r="J32" s="970"/>
      <c r="K32" s="970"/>
      <c r="L32" s="970"/>
      <c r="M32" s="970"/>
      <c r="N32" s="970"/>
      <c r="O32" s="970"/>
      <c r="P32" s="970"/>
      <c r="Q32" s="970"/>
      <c r="R32" s="970"/>
      <c r="S32" s="970"/>
      <c r="T32" s="971"/>
    </row>
    <row r="33" spans="2:21" s="769" customFormat="1" ht="17" customHeight="1">
      <c r="B33" s="731" t="s">
        <v>1574</v>
      </c>
      <c r="C33" s="974" t="s">
        <v>1654</v>
      </c>
      <c r="D33" s="974"/>
      <c r="E33" s="974"/>
      <c r="F33" s="974"/>
      <c r="G33" s="974"/>
      <c r="H33" s="974"/>
      <c r="I33" s="974"/>
      <c r="J33" s="974"/>
      <c r="K33" s="974"/>
      <c r="L33" s="974"/>
      <c r="M33" s="974"/>
      <c r="N33" s="974"/>
      <c r="O33" s="974"/>
      <c r="P33" s="974"/>
      <c r="Q33" s="974"/>
      <c r="R33" s="974"/>
      <c r="S33" s="974"/>
      <c r="T33" s="975"/>
    </row>
    <row r="34" spans="2:21" s="832" customFormat="1" ht="44" customHeight="1">
      <c r="B34" s="731" t="s">
        <v>1574</v>
      </c>
      <c r="C34" s="970" t="s">
        <v>1718</v>
      </c>
      <c r="D34" s="970"/>
      <c r="E34" s="970"/>
      <c r="F34" s="970"/>
      <c r="G34" s="970"/>
      <c r="H34" s="970"/>
      <c r="I34" s="970"/>
      <c r="J34" s="970"/>
      <c r="K34" s="970"/>
      <c r="L34" s="970"/>
      <c r="M34" s="970"/>
      <c r="N34" s="970"/>
      <c r="O34" s="970"/>
      <c r="P34" s="970"/>
      <c r="Q34" s="970"/>
      <c r="R34" s="970"/>
      <c r="S34" s="970"/>
      <c r="T34" s="971"/>
    </row>
    <row r="35" spans="2:21" s="769" customFormat="1" ht="18" customHeight="1">
      <c r="B35" s="731" t="s">
        <v>1574</v>
      </c>
      <c r="C35" s="974" t="s">
        <v>1655</v>
      </c>
      <c r="D35" s="974"/>
      <c r="E35" s="974"/>
      <c r="F35" s="974"/>
      <c r="G35" s="974"/>
      <c r="H35" s="974"/>
      <c r="I35" s="974"/>
      <c r="J35" s="974"/>
      <c r="K35" s="974"/>
      <c r="L35" s="974"/>
      <c r="M35" s="974"/>
      <c r="N35" s="974"/>
      <c r="O35" s="974"/>
      <c r="P35" s="974"/>
      <c r="Q35" s="974"/>
      <c r="R35" s="974"/>
      <c r="S35" s="974"/>
      <c r="T35" s="975"/>
    </row>
    <row r="36" spans="2:21" s="769" customFormat="1" ht="18" customHeight="1">
      <c r="B36" s="731"/>
      <c r="C36" s="861" t="s">
        <v>1719</v>
      </c>
      <c r="D36" s="838"/>
      <c r="E36" s="838"/>
      <c r="F36" s="838"/>
      <c r="G36" s="838"/>
      <c r="H36" s="838"/>
      <c r="I36" s="833"/>
      <c r="J36" s="833"/>
      <c r="K36" s="833"/>
      <c r="L36" s="833"/>
      <c r="M36" s="773"/>
      <c r="N36" s="773"/>
      <c r="O36" s="773"/>
      <c r="P36" s="773"/>
      <c r="Q36" s="773"/>
      <c r="R36" s="773"/>
      <c r="S36" s="773"/>
      <c r="T36" s="774"/>
    </row>
    <row r="37" spans="2:21" s="769" customFormat="1" ht="19.5" customHeight="1">
      <c r="B37" s="731" t="s">
        <v>1574</v>
      </c>
      <c r="C37" s="908" t="s">
        <v>1720</v>
      </c>
      <c r="D37" s="908"/>
      <c r="E37" s="908"/>
      <c r="F37" s="908"/>
      <c r="G37" s="908"/>
      <c r="H37" s="908"/>
      <c r="I37" s="908"/>
      <c r="J37" s="908"/>
      <c r="K37" s="908"/>
      <c r="L37" s="908"/>
      <c r="M37" s="908"/>
      <c r="N37" s="908"/>
      <c r="O37" s="908"/>
      <c r="P37" s="908"/>
      <c r="Q37" s="908"/>
      <c r="R37" s="908"/>
      <c r="S37" s="908"/>
      <c r="T37" s="988"/>
    </row>
    <row r="38" spans="2:21" s="832" customFormat="1" ht="19.5" customHeight="1">
      <c r="B38" s="731" t="s">
        <v>1574</v>
      </c>
      <c r="C38" s="908" t="s">
        <v>1721</v>
      </c>
      <c r="D38" s="908"/>
      <c r="E38" s="908"/>
      <c r="F38" s="908"/>
      <c r="G38" s="908"/>
      <c r="H38" s="908"/>
      <c r="I38" s="908"/>
      <c r="J38" s="908"/>
      <c r="K38" s="908"/>
      <c r="L38" s="908"/>
      <c r="M38" s="908"/>
      <c r="N38" s="908"/>
      <c r="O38" s="908"/>
      <c r="P38" s="908"/>
      <c r="Q38" s="908"/>
      <c r="R38" s="908"/>
      <c r="S38" s="908"/>
      <c r="T38" s="988"/>
    </row>
    <row r="39" spans="2:21" s="687" customFormat="1" ht="21" customHeight="1">
      <c r="B39" s="443" t="s">
        <v>1592</v>
      </c>
      <c r="C39" s="161"/>
      <c r="D39" s="161"/>
      <c r="F39" s="987" t="s">
        <v>1594</v>
      </c>
      <c r="G39" s="987"/>
      <c r="H39" s="987"/>
      <c r="I39" s="987"/>
      <c r="J39" s="161"/>
      <c r="K39" s="746"/>
      <c r="L39" s="161"/>
      <c r="M39" s="161"/>
      <c r="N39" s="161"/>
      <c r="O39" s="161"/>
      <c r="P39" s="161"/>
      <c r="Q39" s="161"/>
      <c r="R39" s="161"/>
      <c r="S39" s="161"/>
      <c r="T39" s="168"/>
    </row>
    <row r="40" spans="2:21" s="745" customFormat="1" ht="21" customHeight="1">
      <c r="B40" s="731" t="s">
        <v>1574</v>
      </c>
      <c r="C40" s="746" t="s">
        <v>1593</v>
      </c>
      <c r="D40" s="161"/>
      <c r="F40" s="749"/>
      <c r="G40" s="749"/>
      <c r="H40" s="749"/>
      <c r="I40" s="749"/>
      <c r="J40" s="161"/>
      <c r="K40" s="746"/>
      <c r="L40" s="161"/>
      <c r="M40" s="161"/>
      <c r="N40" s="161"/>
      <c r="O40" s="161"/>
      <c r="P40" s="161"/>
      <c r="Q40" s="161"/>
      <c r="R40" s="161"/>
      <c r="S40" s="161"/>
      <c r="T40" s="168"/>
    </row>
    <row r="41" spans="2:21" s="687" customFormat="1" ht="16.5" customHeight="1">
      <c r="B41" s="731" t="s">
        <v>1574</v>
      </c>
      <c r="C41" s="6" t="s">
        <v>1575</v>
      </c>
      <c r="D41" s="104"/>
      <c r="E41" s="161"/>
      <c r="F41" s="161"/>
      <c r="G41" s="161"/>
      <c r="H41" s="161"/>
      <c r="I41" s="161"/>
      <c r="J41" s="161"/>
      <c r="K41" s="161"/>
      <c r="L41" s="161"/>
      <c r="M41" s="161"/>
      <c r="N41" s="161"/>
      <c r="O41" s="161"/>
      <c r="P41" s="161"/>
      <c r="Q41" s="161"/>
      <c r="R41" s="161"/>
      <c r="S41" s="161"/>
      <c r="T41" s="168"/>
    </row>
    <row r="42" spans="2:21" s="687" customFormat="1" ht="17" customHeight="1">
      <c r="B42" s="731" t="s">
        <v>1574</v>
      </c>
      <c r="C42" s="6" t="s">
        <v>1565</v>
      </c>
      <c r="D42" s="104"/>
      <c r="E42" s="161"/>
      <c r="F42" s="161"/>
      <c r="G42" s="161"/>
      <c r="H42" s="161"/>
      <c r="I42" s="161"/>
      <c r="J42" s="161"/>
      <c r="K42" s="161"/>
      <c r="L42" s="161"/>
      <c r="M42" s="161"/>
      <c r="N42" s="161"/>
      <c r="O42" s="161"/>
      <c r="P42" s="161"/>
      <c r="Q42" s="161"/>
      <c r="R42" s="161"/>
      <c r="S42" s="161"/>
      <c r="T42" s="168"/>
    </row>
    <row r="43" spans="2:21" s="687" customFormat="1" ht="16.5" customHeight="1">
      <c r="B43" s="731" t="s">
        <v>1574</v>
      </c>
      <c r="C43" s="6" t="s">
        <v>1566</v>
      </c>
      <c r="D43" s="104"/>
      <c r="E43" s="161"/>
      <c r="F43" s="161"/>
      <c r="G43" s="161"/>
      <c r="H43" s="161"/>
      <c r="I43" s="161"/>
      <c r="J43" s="161"/>
      <c r="K43" s="161"/>
      <c r="L43" s="161"/>
      <c r="M43" s="161"/>
      <c r="N43" s="161"/>
      <c r="O43" s="161"/>
      <c r="P43" s="161"/>
      <c r="Q43" s="161"/>
      <c r="R43" s="161"/>
      <c r="S43" s="161"/>
      <c r="T43" s="168"/>
    </row>
    <row r="44" spans="2:21" s="687" customFormat="1" ht="17" customHeight="1">
      <c r="B44" s="731" t="s">
        <v>1574</v>
      </c>
      <c r="C44" s="6" t="s">
        <v>1537</v>
      </c>
      <c r="D44" s="104"/>
      <c r="E44" s="161"/>
      <c r="F44" s="161"/>
      <c r="G44" s="161"/>
      <c r="H44" s="161"/>
      <c r="I44" s="161"/>
      <c r="J44" s="161"/>
      <c r="K44" s="161"/>
      <c r="L44" s="161"/>
      <c r="M44" s="161"/>
      <c r="N44" s="161"/>
      <c r="O44" s="161"/>
      <c r="P44" s="161"/>
      <c r="Q44" s="161"/>
      <c r="R44" s="161"/>
      <c r="S44" s="161"/>
      <c r="T44" s="168"/>
    </row>
    <row r="45" spans="2:21" s="687" customFormat="1" ht="16.5" customHeight="1">
      <c r="B45" s="314"/>
      <c r="C45" s="981" t="s">
        <v>1538</v>
      </c>
      <c r="D45" s="981"/>
      <c r="E45" s="981"/>
      <c r="F45" s="981"/>
      <c r="G45" s="981"/>
      <c r="H45" s="981"/>
      <c r="I45" s="981"/>
      <c r="J45" s="981"/>
      <c r="K45" s="981"/>
      <c r="L45" s="981"/>
      <c r="M45" s="981"/>
      <c r="N45" s="981"/>
      <c r="O45" s="981"/>
      <c r="P45" s="981"/>
      <c r="Q45" s="981"/>
      <c r="R45" s="981"/>
      <c r="S45" s="981"/>
      <c r="T45" s="982"/>
    </row>
    <row r="46" spans="2:21" s="687" customFormat="1" ht="16.5" customHeight="1">
      <c r="B46" s="731" t="s">
        <v>1574</v>
      </c>
      <c r="C46" s="986" t="s">
        <v>1539</v>
      </c>
      <c r="D46" s="986"/>
      <c r="E46" s="986"/>
      <c r="F46" s="986"/>
      <c r="G46" s="986"/>
      <c r="H46" s="986"/>
      <c r="I46" s="986"/>
      <c r="J46" s="986"/>
      <c r="K46" s="986"/>
      <c r="L46" s="986"/>
      <c r="M46" s="986"/>
      <c r="N46" s="986"/>
      <c r="O46" s="986"/>
      <c r="P46" s="986"/>
      <c r="Q46" s="986"/>
      <c r="R46" s="986"/>
      <c r="S46" s="986"/>
      <c r="T46" s="986"/>
      <c r="U46" s="169"/>
    </row>
    <row r="47" spans="2:21" s="687" customFormat="1" ht="16.5" customHeight="1">
      <c r="B47" s="314"/>
      <c r="C47" s="983" t="s">
        <v>1568</v>
      </c>
      <c r="D47" s="983"/>
      <c r="E47" s="983"/>
      <c r="F47" s="983"/>
      <c r="G47" s="983"/>
      <c r="H47" s="983"/>
      <c r="I47" s="983"/>
      <c r="J47" s="983"/>
      <c r="K47" s="983"/>
      <c r="L47" s="983"/>
      <c r="M47" s="983"/>
      <c r="N47" s="983"/>
      <c r="O47" s="983"/>
      <c r="P47" s="983"/>
      <c r="Q47" s="983"/>
      <c r="R47" s="983"/>
      <c r="S47" s="983"/>
      <c r="T47" s="984"/>
    </row>
    <row r="48" spans="2:21" s="727" customFormat="1" ht="16.5" customHeight="1">
      <c r="B48" s="731" t="s">
        <v>1574</v>
      </c>
      <c r="C48" s="985" t="s">
        <v>1583</v>
      </c>
      <c r="D48" s="985"/>
      <c r="E48" s="985"/>
      <c r="F48" s="985"/>
      <c r="G48" s="985"/>
      <c r="H48" s="985"/>
      <c r="I48" s="985"/>
      <c r="J48" s="985"/>
      <c r="K48" s="985"/>
      <c r="L48" s="985"/>
      <c r="M48" s="985"/>
      <c r="N48" s="985"/>
      <c r="O48" s="985"/>
      <c r="P48" s="985"/>
      <c r="Q48" s="985"/>
      <c r="R48" s="985"/>
      <c r="S48" s="985"/>
      <c r="T48" s="982"/>
    </row>
    <row r="49" spans="2:20" s="727" customFormat="1" ht="16.5" customHeight="1">
      <c r="B49" s="731" t="s">
        <v>1574</v>
      </c>
      <c r="C49" s="985" t="s">
        <v>1587</v>
      </c>
      <c r="D49" s="985"/>
      <c r="E49" s="985"/>
      <c r="F49" s="985"/>
      <c r="G49" s="985"/>
      <c r="H49" s="985"/>
      <c r="I49" s="985"/>
      <c r="J49" s="985"/>
      <c r="K49" s="985"/>
      <c r="L49" s="985"/>
      <c r="M49" s="985"/>
      <c r="N49" s="985"/>
      <c r="O49" s="985"/>
      <c r="P49" s="985"/>
      <c r="Q49" s="985"/>
      <c r="R49" s="728"/>
      <c r="S49" s="728"/>
      <c r="T49" s="760"/>
    </row>
    <row r="50" spans="2:20" s="733" customFormat="1" ht="16.5" customHeight="1">
      <c r="B50" s="731" t="s">
        <v>1574</v>
      </c>
      <c r="C50" s="981" t="s">
        <v>1588</v>
      </c>
      <c r="D50" s="981"/>
      <c r="E50" s="981"/>
      <c r="F50" s="981"/>
      <c r="G50" s="981"/>
      <c r="H50" s="981"/>
      <c r="I50" s="981"/>
      <c r="J50" s="981"/>
      <c r="K50" s="981"/>
      <c r="L50" s="981"/>
      <c r="M50" s="981"/>
      <c r="N50" s="981"/>
      <c r="O50" s="981"/>
      <c r="P50" s="981"/>
      <c r="Q50" s="981"/>
      <c r="R50" s="735"/>
      <c r="S50" s="735"/>
      <c r="T50" s="734"/>
    </row>
    <row r="51" spans="2:20" s="738" customFormat="1" ht="16.5" customHeight="1">
      <c r="B51" s="731"/>
      <c r="C51" s="739"/>
      <c r="D51" s="739"/>
      <c r="E51" s="739"/>
      <c r="F51" s="739"/>
      <c r="G51" s="739"/>
      <c r="H51" s="739"/>
      <c r="I51" s="739"/>
      <c r="J51" s="739"/>
      <c r="K51" s="739"/>
      <c r="L51" s="739"/>
      <c r="M51" s="739"/>
      <c r="N51" s="739"/>
      <c r="O51" s="739"/>
      <c r="P51" s="739"/>
      <c r="Q51" s="739"/>
      <c r="R51" s="741"/>
      <c r="S51" s="741"/>
      <c r="T51" s="740"/>
    </row>
    <row r="52" spans="2:20" s="701" customFormat="1" ht="16.5" customHeight="1">
      <c r="B52" s="314"/>
      <c r="C52" s="704" t="s">
        <v>588</v>
      </c>
      <c r="D52" s="703"/>
      <c r="E52" s="703"/>
      <c r="F52" s="703"/>
      <c r="G52" s="703"/>
      <c r="H52" s="703"/>
      <c r="I52" s="703"/>
      <c r="J52" s="703"/>
      <c r="K52" s="703"/>
      <c r="L52" s="703"/>
      <c r="M52" s="703"/>
      <c r="N52" s="703"/>
      <c r="O52" s="703"/>
      <c r="P52" s="703"/>
      <c r="Q52" s="703"/>
      <c r="R52" s="703"/>
      <c r="S52" s="703"/>
      <c r="T52" s="702"/>
    </row>
    <row r="53" spans="2:20" s="701" customFormat="1" ht="16.5" customHeight="1">
      <c r="B53" s="314"/>
      <c r="C53" s="978" t="s">
        <v>1569</v>
      </c>
      <c r="D53" s="978"/>
      <c r="E53" s="978"/>
      <c r="F53" s="978"/>
      <c r="G53" s="978"/>
      <c r="H53" s="978"/>
      <c r="I53" s="978"/>
      <c r="J53" s="978"/>
      <c r="K53" s="978"/>
      <c r="L53" s="978"/>
      <c r="M53" s="978"/>
      <c r="N53" s="978"/>
      <c r="O53" s="978"/>
      <c r="P53" s="978"/>
      <c r="Q53" s="978"/>
      <c r="R53" s="978"/>
      <c r="S53" s="978"/>
      <c r="T53" s="979"/>
    </row>
    <row r="54" spans="2:20" s="665" customFormat="1" ht="15.5">
      <c r="B54" s="443" t="s">
        <v>1517</v>
      </c>
      <c r="C54" s="161"/>
      <c r="D54" s="161"/>
      <c r="E54" s="161"/>
      <c r="F54" s="161"/>
      <c r="G54" s="161"/>
      <c r="H54" s="161"/>
      <c r="I54" s="161"/>
      <c r="J54" s="161"/>
      <c r="K54" s="161"/>
      <c r="L54" s="161"/>
      <c r="M54" s="161"/>
      <c r="N54" s="161"/>
      <c r="O54" s="161"/>
      <c r="P54" s="161"/>
      <c r="Q54" s="161"/>
      <c r="R54" s="161"/>
      <c r="S54" s="161"/>
      <c r="T54" s="168"/>
    </row>
    <row r="55" spans="2:20" s="665" customFormat="1" ht="21">
      <c r="B55" s="731" t="s">
        <v>1574</v>
      </c>
      <c r="C55" s="105" t="s">
        <v>1518</v>
      </c>
      <c r="D55" s="6"/>
      <c r="E55" s="6"/>
      <c r="F55" s="6"/>
      <c r="G55" s="6"/>
      <c r="H55" s="6"/>
      <c r="I55" s="6"/>
      <c r="J55" s="6"/>
      <c r="K55" s="6"/>
      <c r="L55" s="105"/>
      <c r="M55" s="105"/>
      <c r="N55" s="105"/>
      <c r="O55" s="105"/>
      <c r="P55" s="105"/>
      <c r="Q55" s="105"/>
      <c r="R55" s="105"/>
      <c r="S55" s="105"/>
      <c r="T55" s="106"/>
    </row>
    <row r="56" spans="2:20" s="665" customFormat="1" ht="21">
      <c r="B56" s="731" t="s">
        <v>1574</v>
      </c>
      <c r="C56" s="105" t="s">
        <v>1519</v>
      </c>
      <c r="D56" s="105"/>
      <c r="E56" s="105"/>
      <c r="F56" s="105"/>
      <c r="G56" s="105"/>
      <c r="H56" s="105"/>
      <c r="I56" s="105"/>
      <c r="J56" s="105"/>
      <c r="K56" s="105"/>
      <c r="L56" s="105"/>
      <c r="M56" s="105"/>
      <c r="N56" s="105"/>
      <c r="O56" s="105"/>
      <c r="P56" s="105"/>
      <c r="Q56" s="105"/>
      <c r="R56" s="105"/>
      <c r="S56" s="105"/>
      <c r="T56" s="106"/>
    </row>
    <row r="57" spans="2:20" s="665" customFormat="1" ht="21">
      <c r="B57" s="731" t="s">
        <v>1574</v>
      </c>
      <c r="C57" s="6" t="s">
        <v>1520</v>
      </c>
      <c r="D57" s="105"/>
      <c r="E57" s="105"/>
      <c r="F57" s="105"/>
      <c r="G57" s="105"/>
      <c r="H57" s="105"/>
      <c r="I57" s="105"/>
      <c r="J57" s="105"/>
      <c r="K57" s="105"/>
      <c r="L57" s="105"/>
      <c r="M57" s="105"/>
      <c r="N57" s="105"/>
      <c r="O57" s="105"/>
      <c r="P57" s="105"/>
      <c r="Q57" s="105"/>
      <c r="R57" s="105"/>
      <c r="S57" s="105"/>
      <c r="T57" s="106"/>
    </row>
    <row r="58" spans="2:20" s="665" customFormat="1" ht="21">
      <c r="B58" s="731" t="s">
        <v>1574</v>
      </c>
      <c r="C58" s="105" t="s">
        <v>1521</v>
      </c>
      <c r="D58" s="105"/>
      <c r="E58" s="105"/>
      <c r="F58" s="105"/>
      <c r="G58" s="105"/>
      <c r="H58" s="105"/>
      <c r="I58" s="105"/>
      <c r="J58" s="105"/>
      <c r="K58" s="105"/>
      <c r="L58" s="105"/>
      <c r="M58" s="105"/>
      <c r="N58" s="105"/>
      <c r="O58" s="105"/>
      <c r="P58" s="105"/>
      <c r="Q58" s="105"/>
      <c r="R58" s="105"/>
      <c r="S58" s="105"/>
      <c r="T58" s="106"/>
    </row>
    <row r="59" spans="2:20" s="665" customFormat="1" ht="21">
      <c r="B59" s="731" t="s">
        <v>1574</v>
      </c>
      <c r="C59" s="105" t="s">
        <v>1522</v>
      </c>
      <c r="D59" s="105"/>
      <c r="E59" s="105"/>
      <c r="F59" s="105"/>
      <c r="G59" s="105"/>
      <c r="H59" s="105"/>
      <c r="I59" s="105"/>
      <c r="J59" s="105"/>
      <c r="K59" s="105"/>
      <c r="L59" s="105"/>
      <c r="M59" s="105"/>
      <c r="N59" s="105"/>
      <c r="O59" s="105"/>
      <c r="P59" s="105"/>
      <c r="Q59" s="105"/>
      <c r="R59" s="105"/>
      <c r="S59" s="105"/>
      <c r="T59" s="106"/>
    </row>
    <row r="60" spans="2:20" s="665" customFormat="1" ht="21">
      <c r="B60" s="731" t="s">
        <v>1574</v>
      </c>
      <c r="C60" s="221" t="s">
        <v>1523</v>
      </c>
      <c r="D60" s="105"/>
      <c r="E60" s="105"/>
      <c r="F60" s="105"/>
      <c r="G60" s="105"/>
      <c r="H60" s="105"/>
      <c r="I60" s="105"/>
      <c r="J60" s="105"/>
      <c r="K60" s="105"/>
      <c r="L60" s="105"/>
      <c r="M60" s="105"/>
      <c r="N60" s="105"/>
      <c r="O60" s="105"/>
      <c r="P60" s="105"/>
      <c r="Q60" s="105"/>
      <c r="R60" s="105"/>
      <c r="S60" s="105"/>
      <c r="T60" s="106"/>
    </row>
    <row r="61" spans="2:20" s="622" customFormat="1" ht="23.25" customHeight="1">
      <c r="B61" s="679" t="s">
        <v>1491</v>
      </c>
      <c r="C61" s="42"/>
      <c r="D61" s="161"/>
      <c r="E61" s="161"/>
      <c r="F61" s="161"/>
      <c r="G61" s="161"/>
      <c r="H61" s="161"/>
      <c r="I61" s="161"/>
      <c r="J61" s="161"/>
      <c r="K61" s="161"/>
      <c r="L61" s="161"/>
      <c r="M61" s="161"/>
      <c r="N61" s="161"/>
      <c r="O61" s="161"/>
      <c r="P61" s="161"/>
      <c r="Q61" s="161"/>
      <c r="R61" s="161"/>
      <c r="S61" s="161"/>
      <c r="T61" s="168"/>
    </row>
    <row r="62" spans="2:20" s="622" customFormat="1" ht="21">
      <c r="B62" s="731" t="s">
        <v>1574</v>
      </c>
      <c r="C62" s="732" t="s">
        <v>1492</v>
      </c>
      <c r="D62" s="105"/>
      <c r="E62" s="105"/>
      <c r="F62" s="105"/>
      <c r="G62" s="105"/>
      <c r="H62" s="105"/>
      <c r="I62" s="105"/>
      <c r="J62" s="105"/>
      <c r="K62" s="105"/>
      <c r="L62" s="105"/>
      <c r="M62" s="105"/>
      <c r="N62" s="105"/>
      <c r="O62" s="105"/>
      <c r="P62" s="105"/>
      <c r="Q62" s="161"/>
      <c r="R62" s="161"/>
      <c r="S62" s="161"/>
      <c r="T62" s="168"/>
    </row>
    <row r="63" spans="2:20" s="622" customFormat="1" ht="21">
      <c r="B63" s="731" t="s">
        <v>1574</v>
      </c>
      <c r="C63" s="732" t="s">
        <v>1493</v>
      </c>
      <c r="D63" s="105"/>
      <c r="E63" s="105"/>
      <c r="F63" s="105"/>
      <c r="G63" s="105"/>
      <c r="H63" s="105"/>
      <c r="I63" s="105"/>
      <c r="J63" s="105"/>
      <c r="K63" s="105"/>
      <c r="L63" s="105"/>
      <c r="M63" s="105"/>
      <c r="N63" s="105"/>
      <c r="O63" s="105"/>
      <c r="P63" s="105"/>
      <c r="Q63" s="161"/>
      <c r="R63" s="161"/>
      <c r="S63" s="161"/>
      <c r="T63" s="168"/>
    </row>
    <row r="64" spans="2:20" s="622" customFormat="1" ht="21">
      <c r="B64" s="731" t="s">
        <v>1574</v>
      </c>
      <c r="C64" s="732" t="s">
        <v>1494</v>
      </c>
      <c r="D64" s="105"/>
      <c r="E64" s="105"/>
      <c r="F64" s="105"/>
      <c r="G64" s="105"/>
      <c r="H64" s="105"/>
      <c r="I64" s="105"/>
      <c r="J64" s="105"/>
      <c r="K64" s="105"/>
      <c r="L64" s="105"/>
      <c r="M64" s="105"/>
      <c r="N64" s="105"/>
      <c r="O64" s="105"/>
      <c r="P64" s="105"/>
      <c r="Q64" s="161"/>
      <c r="R64" s="161"/>
      <c r="S64" s="161"/>
      <c r="T64" s="168"/>
    </row>
    <row r="65" spans="2:20" s="622" customFormat="1" ht="21">
      <c r="B65" s="731" t="s">
        <v>1574</v>
      </c>
      <c r="C65" s="732" t="s">
        <v>1495</v>
      </c>
      <c r="D65" s="105"/>
      <c r="E65" s="105"/>
      <c r="F65" s="105"/>
      <c r="G65" s="105"/>
      <c r="H65" s="105"/>
      <c r="I65" s="105"/>
      <c r="J65" s="105"/>
      <c r="K65" s="105"/>
      <c r="L65" s="105"/>
      <c r="M65" s="105"/>
      <c r="N65" s="105"/>
      <c r="O65" s="105"/>
      <c r="P65" s="105"/>
      <c r="Q65" s="161"/>
      <c r="R65" s="161"/>
      <c r="S65" s="161"/>
      <c r="T65" s="168"/>
    </row>
    <row r="66" spans="2:20" ht="21.75" customHeight="1">
      <c r="B66" s="430" t="s">
        <v>1096</v>
      </c>
      <c r="C66" s="161"/>
      <c r="D66" s="161"/>
      <c r="E66" s="161"/>
      <c r="F66" s="161"/>
      <c r="G66" s="161"/>
      <c r="H66" s="161"/>
      <c r="I66" s="161"/>
      <c r="J66" s="161"/>
      <c r="K66" s="161"/>
      <c r="L66" s="161"/>
      <c r="M66" s="161"/>
      <c r="N66" s="161"/>
      <c r="O66" s="161"/>
      <c r="P66" s="161"/>
      <c r="Q66" s="161"/>
      <c r="R66" s="161"/>
      <c r="S66" s="161"/>
      <c r="T66" s="168"/>
    </row>
    <row r="67" spans="2:20" ht="21">
      <c r="B67" s="731" t="s">
        <v>1574</v>
      </c>
      <c r="C67" s="729" t="s">
        <v>943</v>
      </c>
      <c r="D67" s="105"/>
      <c r="E67" s="105"/>
      <c r="F67" s="105"/>
      <c r="G67" s="105"/>
      <c r="H67" s="105"/>
      <c r="I67" s="105"/>
      <c r="J67" s="105"/>
      <c r="K67" s="105"/>
      <c r="L67" s="105"/>
      <c r="M67" s="105"/>
      <c r="N67" s="161"/>
      <c r="O67" s="161"/>
      <c r="P67" s="161"/>
      <c r="Q67" s="161"/>
      <c r="R67" s="161"/>
      <c r="S67" s="161"/>
      <c r="T67" s="168"/>
    </row>
    <row r="68" spans="2:20" ht="21">
      <c r="B68" s="731" t="s">
        <v>1574</v>
      </c>
      <c r="C68" s="729" t="s">
        <v>945</v>
      </c>
      <c r="D68" s="105"/>
      <c r="E68" s="105"/>
      <c r="F68" s="105"/>
      <c r="G68" s="105"/>
      <c r="H68" s="105"/>
      <c r="I68" s="105"/>
      <c r="J68" s="105"/>
      <c r="K68" s="105"/>
      <c r="L68" s="105"/>
      <c r="M68" s="105"/>
      <c r="N68" s="161"/>
      <c r="O68" s="161"/>
      <c r="P68" s="161"/>
      <c r="Q68" s="161"/>
      <c r="R68" s="161"/>
      <c r="S68" s="161"/>
      <c r="T68" s="168"/>
    </row>
    <row r="69" spans="2:20" ht="21">
      <c r="B69" s="731" t="s">
        <v>1574</v>
      </c>
      <c r="C69" s="729" t="s">
        <v>1049</v>
      </c>
      <c r="D69" s="105"/>
      <c r="E69" s="105"/>
      <c r="F69" s="105"/>
      <c r="G69" s="105"/>
      <c r="H69" s="105"/>
      <c r="I69" s="105"/>
      <c r="J69" s="105"/>
      <c r="K69" s="105"/>
      <c r="L69" s="105"/>
      <c r="M69" s="105"/>
      <c r="N69" s="161"/>
      <c r="O69" s="161"/>
      <c r="P69" s="161"/>
      <c r="Q69" s="161"/>
      <c r="R69" s="161"/>
      <c r="S69" s="161"/>
      <c r="T69" s="168"/>
    </row>
    <row r="70" spans="2:20" ht="15.5">
      <c r="B70" s="430" t="s">
        <v>1475</v>
      </c>
      <c r="C70" s="285"/>
      <c r="D70" s="285"/>
      <c r="E70" s="285"/>
      <c r="F70" s="161"/>
      <c r="G70" s="161"/>
      <c r="H70" s="161"/>
      <c r="I70" s="161"/>
      <c r="J70" s="161"/>
      <c r="K70" s="161"/>
      <c r="L70" s="161"/>
      <c r="M70" s="161"/>
      <c r="N70" s="161"/>
      <c r="O70" s="161"/>
      <c r="P70" s="161"/>
      <c r="Q70" s="161"/>
      <c r="R70" s="161"/>
      <c r="S70" s="161"/>
      <c r="T70" s="168"/>
    </row>
    <row r="71" spans="2:20" ht="21">
      <c r="B71" s="731" t="s">
        <v>1574</v>
      </c>
      <c r="C71" s="458" t="s">
        <v>1476</v>
      </c>
      <c r="D71" s="509"/>
      <c r="E71" s="509"/>
      <c r="F71" s="509"/>
      <c r="G71" s="509"/>
      <c r="H71" s="509"/>
      <c r="I71" s="509"/>
      <c r="J71" s="509"/>
      <c r="K71" s="509"/>
      <c r="L71" s="509"/>
      <c r="M71" s="509"/>
      <c r="N71" s="509"/>
      <c r="O71" s="509"/>
      <c r="P71" s="509"/>
      <c r="Q71" s="509"/>
      <c r="R71" s="509"/>
      <c r="S71" s="270"/>
      <c r="T71" s="168"/>
    </row>
    <row r="72" spans="2:20" s="622" customFormat="1">
      <c r="B72" s="442"/>
      <c r="C72" s="35"/>
      <c r="D72" s="270"/>
      <c r="E72" s="270"/>
      <c r="F72" s="270"/>
      <c r="G72" s="270"/>
      <c r="H72" s="270"/>
      <c r="I72" s="270"/>
      <c r="J72" s="270"/>
      <c r="K72" s="270"/>
      <c r="L72" s="270"/>
      <c r="M72" s="270"/>
      <c r="N72" s="270"/>
      <c r="O72" s="270"/>
      <c r="P72" s="270"/>
      <c r="Q72" s="270"/>
      <c r="R72" s="270"/>
      <c r="S72" s="270"/>
      <c r="T72" s="168"/>
    </row>
    <row r="73" spans="2:20" ht="15.5">
      <c r="B73" s="443" t="s">
        <v>946</v>
      </c>
      <c r="C73" s="161"/>
      <c r="D73" s="161"/>
      <c r="E73" s="161"/>
      <c r="F73" s="161"/>
      <c r="G73" s="161"/>
      <c r="H73" s="161"/>
      <c r="I73" s="161"/>
      <c r="J73" s="161"/>
      <c r="K73" s="161"/>
      <c r="L73" s="161"/>
      <c r="M73" s="161"/>
      <c r="N73" s="161"/>
      <c r="O73" s="161"/>
      <c r="P73" s="161"/>
      <c r="Q73" s="161"/>
      <c r="R73" s="161"/>
      <c r="S73" s="161"/>
      <c r="T73" s="168"/>
    </row>
    <row r="74" spans="2:20" ht="21">
      <c r="B74" s="731" t="s">
        <v>1574</v>
      </c>
      <c r="C74" s="608" t="s">
        <v>1050</v>
      </c>
      <c r="D74" s="161"/>
      <c r="E74" s="161"/>
      <c r="F74" s="161"/>
      <c r="G74" s="161"/>
      <c r="H74" s="161"/>
      <c r="I74" s="161"/>
      <c r="J74" s="161"/>
      <c r="K74" s="161"/>
      <c r="L74" s="161"/>
      <c r="M74" s="161"/>
      <c r="N74" s="161"/>
      <c r="O74" s="161"/>
      <c r="P74" s="161"/>
      <c r="Q74" s="161"/>
      <c r="R74" s="161"/>
      <c r="S74" s="161"/>
      <c r="T74" s="168"/>
    </row>
    <row r="75" spans="2:20" ht="21">
      <c r="B75" s="731" t="s">
        <v>1574</v>
      </c>
      <c r="C75" s="729" t="s">
        <v>1413</v>
      </c>
      <c r="D75" s="105"/>
      <c r="E75" s="105"/>
      <c r="F75" s="105"/>
      <c r="G75" s="105"/>
      <c r="H75" s="105"/>
      <c r="I75" s="105"/>
      <c r="J75" s="105"/>
      <c r="K75" s="105"/>
      <c r="L75" s="105"/>
      <c r="M75" s="105"/>
      <c r="N75" s="105"/>
      <c r="O75" s="105"/>
      <c r="P75" s="105"/>
      <c r="Q75" s="105"/>
      <c r="R75" s="105"/>
      <c r="S75" s="161"/>
      <c r="T75" s="168"/>
    </row>
    <row r="76" spans="2:20" ht="21">
      <c r="B76" s="731" t="s">
        <v>1574</v>
      </c>
      <c r="C76" s="729" t="s">
        <v>947</v>
      </c>
      <c r="D76" s="105"/>
      <c r="E76" s="105"/>
      <c r="F76" s="105"/>
      <c r="G76" s="105"/>
      <c r="H76" s="105"/>
      <c r="I76" s="105"/>
      <c r="J76" s="105"/>
      <c r="K76" s="105"/>
      <c r="L76" s="105"/>
      <c r="M76" s="105"/>
      <c r="N76" s="105"/>
      <c r="O76" s="105"/>
      <c r="P76" s="105"/>
      <c r="Q76" s="105"/>
      <c r="R76" s="105"/>
      <c r="S76" s="161"/>
      <c r="T76" s="168"/>
    </row>
    <row r="77" spans="2:20" ht="21">
      <c r="B77" s="731" t="s">
        <v>1574</v>
      </c>
      <c r="C77" s="729" t="s">
        <v>948</v>
      </c>
      <c r="D77" s="105"/>
      <c r="E77" s="105"/>
      <c r="F77" s="105"/>
      <c r="G77" s="105"/>
      <c r="H77" s="105"/>
      <c r="I77" s="105"/>
      <c r="J77" s="105"/>
      <c r="K77" s="105"/>
      <c r="L77" s="105"/>
      <c r="M77" s="105"/>
      <c r="N77" s="105"/>
      <c r="O77" s="105"/>
      <c r="P77" s="105"/>
      <c r="Q77" s="105"/>
      <c r="R77" s="105"/>
      <c r="S77" s="161"/>
      <c r="T77" s="168"/>
    </row>
    <row r="78" spans="2:20" ht="21">
      <c r="B78" s="731" t="s">
        <v>1574</v>
      </c>
      <c r="C78" s="729" t="s">
        <v>949</v>
      </c>
      <c r="D78" s="105"/>
      <c r="E78" s="105"/>
      <c r="F78" s="105"/>
      <c r="G78" s="105"/>
      <c r="H78" s="105"/>
      <c r="I78" s="105"/>
      <c r="J78" s="105"/>
      <c r="K78" s="105"/>
      <c r="L78" s="105"/>
      <c r="M78" s="105"/>
      <c r="N78" s="105"/>
      <c r="O78" s="105"/>
      <c r="P78" s="105"/>
      <c r="Q78" s="105"/>
      <c r="R78" s="105"/>
      <c r="S78" s="161"/>
      <c r="T78" s="168"/>
    </row>
    <row r="79" spans="2:20" ht="21">
      <c r="B79" s="731" t="s">
        <v>1574</v>
      </c>
      <c r="C79" s="729" t="s">
        <v>959</v>
      </c>
      <c r="D79" s="105"/>
      <c r="E79" s="105"/>
      <c r="F79" s="105"/>
      <c r="G79" s="105"/>
      <c r="H79" s="105"/>
      <c r="I79" s="105"/>
      <c r="J79" s="105"/>
      <c r="K79" s="105"/>
      <c r="L79" s="105"/>
      <c r="M79" s="105"/>
      <c r="N79" s="105"/>
      <c r="O79" s="105"/>
      <c r="P79" s="105"/>
      <c r="Q79" s="105"/>
      <c r="R79" s="105"/>
      <c r="S79" s="161"/>
      <c r="T79" s="168"/>
    </row>
    <row r="80" spans="2:20" ht="21">
      <c r="B80" s="731" t="s">
        <v>1574</v>
      </c>
      <c r="C80" s="729" t="s">
        <v>950</v>
      </c>
      <c r="D80" s="105"/>
      <c r="E80" s="105"/>
      <c r="F80" s="105"/>
      <c r="G80" s="105"/>
      <c r="H80" s="105"/>
      <c r="I80" s="105"/>
      <c r="J80" s="105"/>
      <c r="K80" s="105"/>
      <c r="L80" s="105"/>
      <c r="M80" s="105"/>
      <c r="N80" s="105"/>
      <c r="O80" s="105"/>
      <c r="P80" s="105"/>
      <c r="Q80" s="105"/>
      <c r="R80" s="105"/>
      <c r="S80" s="161"/>
      <c r="T80" s="168"/>
    </row>
    <row r="81" spans="2:20" ht="21">
      <c r="B81" s="731" t="s">
        <v>1574</v>
      </c>
      <c r="C81" s="729" t="s">
        <v>951</v>
      </c>
      <c r="D81" s="105"/>
      <c r="E81" s="105"/>
      <c r="F81" s="105"/>
      <c r="G81" s="105"/>
      <c r="H81" s="105"/>
      <c r="I81" s="105"/>
      <c r="J81" s="105"/>
      <c r="K81" s="105"/>
      <c r="L81" s="105"/>
      <c r="M81" s="105"/>
      <c r="N81" s="105"/>
      <c r="O81" s="105"/>
      <c r="P81" s="105"/>
      <c r="Q81" s="105"/>
      <c r="R81" s="105"/>
      <c r="S81" s="161"/>
      <c r="T81" s="168"/>
    </row>
    <row r="82" spans="2:20">
      <c r="B82" s="169"/>
      <c r="C82" s="161"/>
      <c r="D82" s="161"/>
      <c r="E82" s="161"/>
      <c r="F82" s="161"/>
      <c r="G82" s="161"/>
      <c r="H82" s="161"/>
      <c r="I82" s="161"/>
      <c r="J82" s="161"/>
      <c r="K82" s="161"/>
      <c r="L82" s="161"/>
      <c r="M82" s="161"/>
      <c r="N82" s="161"/>
      <c r="O82" s="161"/>
      <c r="P82" s="161"/>
      <c r="Q82" s="161"/>
      <c r="R82" s="161"/>
      <c r="S82" s="161"/>
      <c r="T82" s="168"/>
    </row>
    <row r="83" spans="2:20" ht="15.5">
      <c r="B83" s="430" t="s">
        <v>952</v>
      </c>
      <c r="C83" s="161"/>
      <c r="D83" s="161"/>
      <c r="E83" s="161"/>
      <c r="F83" s="161"/>
      <c r="G83" s="161"/>
      <c r="H83" s="161"/>
      <c r="I83" s="161"/>
      <c r="J83" s="161"/>
      <c r="K83" s="161"/>
      <c r="L83" s="161"/>
      <c r="M83" s="161"/>
      <c r="N83" s="161"/>
      <c r="O83" s="161"/>
      <c r="P83" s="161"/>
      <c r="Q83" s="161"/>
      <c r="R83" s="161"/>
      <c r="S83" s="161"/>
      <c r="T83" s="168"/>
    </row>
    <row r="84" spans="2:20" ht="15.5">
      <c r="B84" s="442" t="s">
        <v>944</v>
      </c>
      <c r="C84" s="729" t="s">
        <v>953</v>
      </c>
      <c r="D84" s="105"/>
      <c r="E84" s="105"/>
      <c r="F84" s="105"/>
      <c r="G84" s="105"/>
      <c r="H84" s="105"/>
      <c r="I84" s="105"/>
      <c r="J84" s="105"/>
      <c r="K84" s="105"/>
      <c r="L84" s="105"/>
      <c r="M84" s="105"/>
      <c r="N84" s="161"/>
      <c r="O84" s="161"/>
      <c r="P84" s="161"/>
      <c r="Q84" s="161"/>
      <c r="R84" s="161"/>
      <c r="S84" s="161"/>
      <c r="T84" s="168"/>
    </row>
    <row r="85" spans="2:20" ht="15.5">
      <c r="B85" s="442" t="s">
        <v>944</v>
      </c>
      <c r="C85" s="980" t="s">
        <v>1671</v>
      </c>
      <c r="D85" s="980"/>
      <c r="E85" s="980"/>
      <c r="F85" s="980"/>
      <c r="G85" s="980"/>
      <c r="H85" s="980"/>
      <c r="I85" s="980"/>
      <c r="J85" s="980"/>
      <c r="K85" s="980"/>
      <c r="L85" s="980"/>
      <c r="M85" s="980"/>
      <c r="N85" s="980"/>
      <c r="O85" s="161"/>
      <c r="P85" s="161"/>
      <c r="Q85" s="161"/>
      <c r="R85" s="161"/>
      <c r="S85" s="161"/>
      <c r="T85" s="168"/>
    </row>
    <row r="86" spans="2:20" ht="15.5">
      <c r="B86" s="442" t="s">
        <v>944</v>
      </c>
      <c r="C86" s="729" t="s">
        <v>1435</v>
      </c>
      <c r="D86" s="105"/>
      <c r="E86" s="105"/>
      <c r="F86" s="105"/>
      <c r="G86" s="105"/>
      <c r="H86" s="105"/>
      <c r="I86" s="105"/>
      <c r="J86" s="105"/>
      <c r="K86" s="105"/>
      <c r="L86" s="105"/>
      <c r="M86" s="105"/>
      <c r="N86" s="161"/>
      <c r="O86" s="161"/>
      <c r="P86" s="161"/>
      <c r="Q86" s="161"/>
      <c r="R86" s="161"/>
      <c r="S86" s="161"/>
      <c r="T86" s="168"/>
    </row>
    <row r="87" spans="2:20" ht="15.5">
      <c r="B87" s="442" t="s">
        <v>944</v>
      </c>
      <c r="C87" s="729" t="s">
        <v>954</v>
      </c>
      <c r="D87" s="105"/>
      <c r="E87" s="105"/>
      <c r="F87" s="105"/>
      <c r="G87" s="105"/>
      <c r="H87" s="105"/>
      <c r="I87" s="105"/>
      <c r="J87" s="105"/>
      <c r="K87" s="105"/>
      <c r="L87" s="105"/>
      <c r="M87" s="105"/>
      <c r="N87" s="161"/>
      <c r="O87" s="161"/>
      <c r="P87" s="161"/>
      <c r="Q87" s="161"/>
      <c r="R87" s="161"/>
      <c r="S87" s="161"/>
      <c r="T87" s="168"/>
    </row>
    <row r="88" spans="2:20" ht="15.5">
      <c r="B88" s="442" t="s">
        <v>944</v>
      </c>
      <c r="C88" s="729" t="s">
        <v>955</v>
      </c>
      <c r="D88" s="105"/>
      <c r="E88" s="105"/>
      <c r="F88" s="105"/>
      <c r="G88" s="105"/>
      <c r="H88" s="105"/>
      <c r="I88" s="105"/>
      <c r="J88" s="105"/>
      <c r="K88" s="105"/>
      <c r="L88" s="105"/>
      <c r="M88" s="105"/>
      <c r="N88" s="161"/>
      <c r="O88" s="161"/>
      <c r="P88" s="161"/>
      <c r="Q88" s="161"/>
      <c r="R88" s="161"/>
      <c r="S88" s="161"/>
      <c r="T88" s="168"/>
    </row>
    <row r="89" spans="2:20" ht="15.5">
      <c r="B89" s="442" t="s">
        <v>944</v>
      </c>
      <c r="C89" s="729" t="s">
        <v>956</v>
      </c>
      <c r="D89" s="105"/>
      <c r="E89" s="105"/>
      <c r="F89" s="105"/>
      <c r="G89" s="105"/>
      <c r="H89" s="105"/>
      <c r="I89" s="105"/>
      <c r="J89" s="105"/>
      <c r="K89" s="105"/>
      <c r="L89" s="105"/>
      <c r="M89" s="105"/>
      <c r="N89" s="161"/>
      <c r="O89" s="161"/>
      <c r="P89" s="161"/>
      <c r="Q89" s="161"/>
      <c r="R89" s="161"/>
      <c r="S89" s="161"/>
      <c r="T89" s="168"/>
    </row>
    <row r="90" spans="2:20" ht="15.5">
      <c r="B90" s="442" t="s">
        <v>944</v>
      </c>
      <c r="C90" s="729" t="s">
        <v>957</v>
      </c>
      <c r="D90" s="105"/>
      <c r="E90" s="105"/>
      <c r="F90" s="105"/>
      <c r="G90" s="105"/>
      <c r="H90" s="105"/>
      <c r="I90" s="105"/>
      <c r="J90" s="105"/>
      <c r="K90" s="105"/>
      <c r="L90" s="105"/>
      <c r="M90" s="105"/>
      <c r="N90" s="161"/>
      <c r="O90" s="161"/>
      <c r="P90" s="161"/>
      <c r="Q90" s="161"/>
      <c r="R90" s="161"/>
      <c r="S90" s="161"/>
      <c r="T90" s="168"/>
    </row>
    <row r="91" spans="2:20" ht="15.5">
      <c r="B91" s="442" t="s">
        <v>944</v>
      </c>
      <c r="C91" s="729" t="s">
        <v>958</v>
      </c>
      <c r="D91" s="105"/>
      <c r="E91" s="105"/>
      <c r="F91" s="105"/>
      <c r="G91" s="105"/>
      <c r="H91" s="105"/>
      <c r="I91" s="105"/>
      <c r="J91" s="105"/>
      <c r="K91" s="105"/>
      <c r="L91" s="105"/>
      <c r="M91" s="105"/>
      <c r="N91" s="161"/>
      <c r="O91" s="161"/>
      <c r="P91" s="161"/>
      <c r="Q91" s="161"/>
      <c r="R91" s="161"/>
      <c r="S91" s="161"/>
      <c r="T91" s="168"/>
    </row>
    <row r="92" spans="2:20" ht="15" thickBot="1">
      <c r="B92" s="54"/>
      <c r="C92" s="170"/>
      <c r="D92" s="170"/>
      <c r="E92" s="170"/>
      <c r="F92" s="170"/>
      <c r="G92" s="170"/>
      <c r="H92" s="170"/>
      <c r="I92" s="170"/>
      <c r="J92" s="170"/>
      <c r="K92" s="170"/>
      <c r="L92" s="170"/>
      <c r="M92" s="170"/>
      <c r="N92" s="170"/>
      <c r="O92" s="170"/>
      <c r="P92" s="170"/>
      <c r="Q92" s="170"/>
      <c r="R92" s="170"/>
      <c r="S92" s="170"/>
      <c r="T92" s="171"/>
    </row>
  </sheetData>
  <sheetProtection algorithmName="SHA-512" hashValue="yhlXfHpxpHRvFoyYSNsO20VUy3zQxvBZLZi+KanZfowzlJOVQZgPcp/maVr5C2dzg4rCqehNjV1GE75F/PU3Bg==" saltValue="KuKe48wEia35t1j8BU7krg==" spinCount="100000" sheet="1" objects="1" scenarios="1"/>
  <mergeCells count="37">
    <mergeCell ref="F39:I39"/>
    <mergeCell ref="C35:T35"/>
    <mergeCell ref="C37:T37"/>
    <mergeCell ref="C38:T38"/>
    <mergeCell ref="B23:E23"/>
    <mergeCell ref="C85:N85"/>
    <mergeCell ref="C53:T53"/>
    <mergeCell ref="C45:T45"/>
    <mergeCell ref="C47:T47"/>
    <mergeCell ref="C48:T48"/>
    <mergeCell ref="C46:T46"/>
    <mergeCell ref="C49:Q49"/>
    <mergeCell ref="C50:Q50"/>
    <mergeCell ref="C17:T17"/>
    <mergeCell ref="C18:T18"/>
    <mergeCell ref="C19:T19"/>
    <mergeCell ref="C34:T34"/>
    <mergeCell ref="C20:T20"/>
    <mergeCell ref="C31:T31"/>
    <mergeCell ref="C30:T30"/>
    <mergeCell ref="C33:T33"/>
    <mergeCell ref="C32:T32"/>
    <mergeCell ref="B25:E25"/>
    <mergeCell ref="C26:T26"/>
    <mergeCell ref="C27:T27"/>
    <mergeCell ref="C28:T28"/>
    <mergeCell ref="C16:T16"/>
    <mergeCell ref="C1:D1"/>
    <mergeCell ref="E1:F1"/>
    <mergeCell ref="C13:T13"/>
    <mergeCell ref="C14:T14"/>
    <mergeCell ref="C15:T15"/>
    <mergeCell ref="B6:T6"/>
    <mergeCell ref="B7:T7"/>
    <mergeCell ref="B8:T8"/>
    <mergeCell ref="B9:T9"/>
    <mergeCell ref="C12:T12"/>
  </mergeCells>
  <hyperlinks>
    <hyperlink ref="I2" location="'Front Page'!A1" display="Return to Front Page" xr:uid="{00000000-0004-0000-0100-000000000000}"/>
  </hyperlinks>
  <pageMargins left="0.23622047244094488" right="0.23622047244094488" top="0.23622047244094488" bottom="0.23622047244094488" header="0.31496062992125984" footer="0.31496062992125984"/>
  <pageSetup paperSize="8"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B1:BM70"/>
  <sheetViews>
    <sheetView zoomScale="77" zoomScaleNormal="77" workbookViewId="0">
      <selection activeCell="X30" sqref="X30"/>
    </sheetView>
  </sheetViews>
  <sheetFormatPr defaultColWidth="9.1796875" defaultRowHeight="14.5"/>
  <cols>
    <col min="1" max="1" width="3.1796875" style="103" customWidth="1"/>
    <col min="2" max="2" width="9.1796875" style="162"/>
    <col min="3" max="3" width="20.81640625" style="162" customWidth="1"/>
    <col min="4" max="4" width="9.453125" style="162" customWidth="1"/>
    <col min="5" max="5" width="15" style="162" customWidth="1"/>
    <col min="6" max="6" width="9.453125" style="162" customWidth="1"/>
    <col min="7" max="7" width="10.54296875" style="162" customWidth="1"/>
    <col min="8" max="8" width="11.36328125" style="162" customWidth="1"/>
    <col min="9" max="9" width="9.6328125" style="162" customWidth="1"/>
    <col min="10" max="10" width="13.1796875" style="162" customWidth="1"/>
    <col min="11" max="11" width="15.1796875" style="162" customWidth="1"/>
    <col min="12" max="12" width="11.453125" style="162" customWidth="1"/>
    <col min="13" max="13" width="9.81640625" style="162" customWidth="1"/>
    <col min="14" max="14" width="11" style="162" customWidth="1"/>
    <col min="15" max="15" width="10.453125" style="162" customWidth="1"/>
    <col min="16" max="17" width="9.1796875" style="162"/>
    <col min="18" max="18" width="8.81640625" style="162" customWidth="1"/>
    <col min="19" max="19" width="10.1796875" style="162" customWidth="1"/>
    <col min="20" max="20" width="10.453125" style="162" customWidth="1"/>
    <col min="21" max="21" width="10" style="162" customWidth="1"/>
    <col min="22" max="22" width="12.81640625" style="162" customWidth="1"/>
    <col min="23" max="23" width="10.453125" style="162" customWidth="1"/>
    <col min="24" max="24" width="9.81640625" style="162" customWidth="1"/>
    <col min="25" max="28" width="9.1796875" style="162" customWidth="1"/>
    <col min="29" max="29" width="4.81640625" style="103" customWidth="1"/>
    <col min="30" max="30" width="3.54296875" style="103" customWidth="1"/>
    <col min="31" max="65" width="9.1796875" style="103" hidden="1" customWidth="1"/>
    <col min="66" max="68" width="9.1796875" style="103" customWidth="1"/>
    <col min="69" max="16384" width="9.1796875" style="103"/>
  </cols>
  <sheetData>
    <row r="1" spans="2:46" ht="15" thickBot="1">
      <c r="C1" s="444" t="str">
        <f>'Front Page'!C1:D1</f>
        <v>Printed on</v>
      </c>
      <c r="D1" s="444"/>
      <c r="E1" s="446">
        <f ca="1">'Front Page'!E1:F1</f>
        <v>44610.35418101852</v>
      </c>
      <c r="F1" s="445"/>
      <c r="G1" s="445"/>
    </row>
    <row r="2" spans="2:46" ht="31.5" thickBot="1">
      <c r="B2" s="129" t="s">
        <v>489</v>
      </c>
      <c r="C2" s="130"/>
      <c r="D2" s="130"/>
      <c r="E2" s="130"/>
      <c r="F2" s="397" t="str">
        <f>'Front Page'!C5</f>
        <v xml:space="preserve">Version Number </v>
      </c>
      <c r="G2" s="397"/>
      <c r="H2" s="398" t="str">
        <f>'Front Page'!E5</f>
        <v xml:space="preserve">2.2.2a </v>
      </c>
      <c r="I2" s="398" t="str">
        <f>'Front Page'!F5</f>
        <v xml:space="preserve">    11 February 2022</v>
      </c>
      <c r="J2" s="399"/>
      <c r="K2" s="149"/>
      <c r="L2" s="215"/>
      <c r="M2" s="215"/>
      <c r="N2" s="215"/>
      <c r="O2" s="215"/>
      <c r="P2" s="165"/>
      <c r="Q2" s="992" t="s">
        <v>654</v>
      </c>
      <c r="R2" s="992"/>
      <c r="S2" s="992"/>
      <c r="T2" s="992"/>
      <c r="U2" s="165"/>
      <c r="V2" s="165"/>
      <c r="W2" s="165"/>
      <c r="X2" s="165"/>
      <c r="Y2" s="165"/>
      <c r="Z2" s="165"/>
      <c r="AA2" s="165"/>
      <c r="AB2" s="165"/>
      <c r="AC2" s="145"/>
    </row>
    <row r="3" spans="2:46" ht="24" customHeight="1">
      <c r="B3" s="1039" t="s">
        <v>1436</v>
      </c>
      <c r="C3" s="1040"/>
      <c r="D3" s="1040"/>
      <c r="E3" s="1040"/>
      <c r="F3" s="1040"/>
      <c r="G3" s="1040"/>
      <c r="H3" s="1040"/>
      <c r="I3" s="1040"/>
      <c r="J3" s="1040"/>
      <c r="K3" s="1040"/>
      <c r="L3" s="1040"/>
      <c r="M3" s="1040"/>
      <c r="N3" s="1040"/>
      <c r="O3" s="1040"/>
      <c r="P3" s="161"/>
      <c r="Q3" s="995" t="s">
        <v>911</v>
      </c>
      <c r="R3" s="928"/>
      <c r="S3" s="928"/>
      <c r="T3" s="928"/>
      <c r="U3" s="161"/>
      <c r="V3" s="161"/>
      <c r="AC3" s="146"/>
      <c r="AF3" s="49"/>
      <c r="AG3" s="49"/>
      <c r="AH3" s="49"/>
      <c r="AI3" s="49"/>
      <c r="AJ3" s="49"/>
      <c r="AK3" s="49"/>
    </row>
    <row r="4" spans="2:46" ht="21" customHeight="1">
      <c r="B4" s="1039"/>
      <c r="C4" s="1040"/>
      <c r="D4" s="1040"/>
      <c r="E4" s="1040"/>
      <c r="F4" s="1040"/>
      <c r="G4" s="1040"/>
      <c r="H4" s="1040"/>
      <c r="I4" s="1040"/>
      <c r="J4" s="1040"/>
      <c r="K4" s="1040"/>
      <c r="L4" s="1040"/>
      <c r="M4" s="1040"/>
      <c r="N4" s="1040"/>
      <c r="O4" s="1040"/>
      <c r="P4" s="161"/>
      <c r="Q4" s="204"/>
      <c r="R4" s="204"/>
      <c r="S4" s="161"/>
      <c r="T4" s="161"/>
      <c r="U4" s="161"/>
      <c r="V4" s="161"/>
      <c r="AC4" s="146"/>
      <c r="AF4" s="49"/>
      <c r="AG4" s="49"/>
      <c r="AH4" s="742" t="s">
        <v>67</v>
      </c>
      <c r="AI4" s="742" t="s">
        <v>70</v>
      </c>
      <c r="AJ4" s="742" t="s">
        <v>152</v>
      </c>
      <c r="AK4" s="742"/>
      <c r="AL4" s="742" t="s">
        <v>1589</v>
      </c>
      <c r="AM4" s="742"/>
      <c r="AN4" s="742"/>
      <c r="AO4" s="742"/>
      <c r="AP4" s="742"/>
    </row>
    <row r="5" spans="2:46" ht="15" customHeight="1">
      <c r="B5" s="203"/>
      <c r="C5" s="204"/>
      <c r="D5" s="204"/>
      <c r="E5" s="204"/>
      <c r="F5" s="204"/>
      <c r="G5" s="204"/>
      <c r="H5" s="204"/>
      <c r="I5" s="204"/>
      <c r="J5" s="204"/>
      <c r="K5" s="204"/>
      <c r="L5" s="204"/>
      <c r="M5" s="204"/>
      <c r="N5" s="161"/>
      <c r="O5" s="161"/>
      <c r="P5" s="161"/>
      <c r="Q5" s="204"/>
      <c r="R5" s="204"/>
      <c r="S5" s="161"/>
      <c r="T5" s="161"/>
      <c r="U5" s="161"/>
      <c r="V5" s="161"/>
      <c r="AC5" s="146"/>
      <c r="AF5" s="49"/>
      <c r="AG5" s="49"/>
      <c r="AH5" s="742">
        <f>COUNTIF(D16:D20,AH4)</f>
        <v>5</v>
      </c>
      <c r="AI5" s="742">
        <f>COUNTIF(D16:D20,AI4)</f>
        <v>0</v>
      </c>
      <c r="AJ5" s="742">
        <f>COUNTIF(D16:D20,AJ4)</f>
        <v>0</v>
      </c>
      <c r="AK5" s="742"/>
      <c r="AL5" s="742" t="b">
        <f>IF(AH5&gt;0,TRUE,FALSE)</f>
        <v>1</v>
      </c>
      <c r="AM5" s="742" t="b">
        <f t="shared" ref="AM5:AN5" si="0">IF(AI5&gt;0,TRUE,FALSE)</f>
        <v>0</v>
      </c>
      <c r="AN5" s="742" t="b">
        <f t="shared" si="0"/>
        <v>0</v>
      </c>
      <c r="AO5" s="742"/>
      <c r="AP5" s="742">
        <f>COUNTIF(AL5:AN5,TRUE)</f>
        <v>1</v>
      </c>
    </row>
    <row r="6" spans="2:46" ht="15" customHeight="1">
      <c r="B6" s="396" t="s">
        <v>913</v>
      </c>
      <c r="C6" s="204"/>
      <c r="D6" s="204"/>
      <c r="E6" s="204"/>
      <c r="F6" s="204"/>
      <c r="G6" s="204"/>
      <c r="H6" s="204"/>
      <c r="I6" s="204"/>
      <c r="J6" s="204"/>
      <c r="K6" s="204"/>
      <c r="L6" s="161"/>
      <c r="M6" s="161"/>
      <c r="N6" s="161"/>
      <c r="O6" s="161"/>
      <c r="P6" s="161"/>
      <c r="Q6" s="204"/>
      <c r="R6" s="204"/>
      <c r="S6" s="161"/>
      <c r="T6" s="161"/>
      <c r="U6" s="161"/>
      <c r="V6" s="161"/>
      <c r="AC6" s="146"/>
      <c r="AF6" s="157"/>
      <c r="AG6" s="157"/>
      <c r="AH6" s="157"/>
      <c r="AI6" s="157"/>
      <c r="AJ6" s="157"/>
      <c r="AK6" s="157"/>
    </row>
    <row r="7" spans="2:46" ht="30.75" customHeight="1">
      <c r="B7" s="482">
        <v>1</v>
      </c>
      <c r="C7" s="996" t="s">
        <v>1590</v>
      </c>
      <c r="D7" s="996"/>
      <c r="E7" s="996"/>
      <c r="F7" s="996"/>
      <c r="G7" s="996"/>
      <c r="H7" s="996"/>
      <c r="I7" s="996"/>
      <c r="J7" s="996"/>
      <c r="K7" s="996"/>
      <c r="L7" s="996"/>
      <c r="M7" s="996"/>
      <c r="N7" s="996"/>
      <c r="O7" s="996"/>
      <c r="P7" s="996"/>
      <c r="Q7" s="996"/>
      <c r="R7" s="996"/>
      <c r="S7" s="996"/>
      <c r="T7" s="996"/>
      <c r="U7" s="996"/>
      <c r="V7" s="996"/>
      <c r="AC7" s="146"/>
      <c r="AF7" s="157"/>
      <c r="AG7" s="157"/>
      <c r="AH7" s="157"/>
      <c r="AI7" s="157"/>
      <c r="AJ7" s="157"/>
      <c r="AK7" s="157"/>
    </row>
    <row r="8" spans="2:46" ht="15" customHeight="1">
      <c r="B8" s="482">
        <v>2</v>
      </c>
      <c r="C8" s="997" t="s">
        <v>1414</v>
      </c>
      <c r="D8" s="997"/>
      <c r="E8" s="997"/>
      <c r="F8" s="997"/>
      <c r="G8" s="997"/>
      <c r="H8" s="997"/>
      <c r="I8" s="997"/>
      <c r="J8" s="997"/>
      <c r="K8" s="997"/>
      <c r="L8" s="997"/>
      <c r="M8" s="997"/>
      <c r="N8" s="997"/>
      <c r="O8" s="997"/>
      <c r="P8" s="997"/>
      <c r="Q8" s="997"/>
      <c r="R8" s="997"/>
      <c r="S8" s="997"/>
      <c r="T8" s="997"/>
      <c r="U8" s="997"/>
      <c r="V8" s="997"/>
      <c r="AC8" s="146"/>
      <c r="AF8" s="157"/>
      <c r="AG8" s="157"/>
      <c r="AH8" s="157"/>
      <c r="AI8" s="157"/>
      <c r="AJ8" s="157"/>
      <c r="AK8" s="157"/>
    </row>
    <row r="9" spans="2:46" ht="15" customHeight="1">
      <c r="B9" s="482">
        <v>3</v>
      </c>
      <c r="C9" s="966" t="s">
        <v>912</v>
      </c>
      <c r="D9" s="966"/>
      <c r="E9" s="966"/>
      <c r="F9" s="966"/>
      <c r="G9" s="966"/>
      <c r="H9" s="966"/>
      <c r="I9" s="966"/>
      <c r="J9" s="966"/>
      <c r="K9" s="966"/>
      <c r="L9" s="966"/>
      <c r="M9" s="966"/>
      <c r="N9" s="966"/>
      <c r="O9" s="966"/>
      <c r="P9" s="966"/>
      <c r="Q9" s="966"/>
      <c r="R9" s="966"/>
      <c r="S9" s="966"/>
      <c r="T9" s="966"/>
      <c r="U9" s="966"/>
      <c r="V9" s="966"/>
      <c r="AC9" s="146"/>
      <c r="AF9" s="157"/>
      <c r="AG9" s="157"/>
      <c r="AH9" s="157"/>
      <c r="AI9" s="157"/>
      <c r="AJ9" s="157"/>
      <c r="AK9" s="157"/>
    </row>
    <row r="10" spans="2:46" ht="30" customHeight="1">
      <c r="B10" s="482">
        <v>4</v>
      </c>
      <c r="C10" s="962" t="s">
        <v>1483</v>
      </c>
      <c r="D10" s="962"/>
      <c r="E10" s="962"/>
      <c r="F10" s="962"/>
      <c r="G10" s="962"/>
      <c r="H10" s="962"/>
      <c r="I10" s="962"/>
      <c r="J10" s="962"/>
      <c r="K10" s="962"/>
      <c r="L10" s="962"/>
      <c r="M10" s="962"/>
      <c r="N10" s="962"/>
      <c r="O10" s="962"/>
      <c r="P10" s="962"/>
      <c r="Q10" s="962"/>
      <c r="R10" s="962"/>
      <c r="S10" s="962"/>
      <c r="T10" s="962"/>
      <c r="U10" s="962"/>
      <c r="V10" s="962"/>
      <c r="AC10" s="146"/>
      <c r="AF10" s="157" t="s">
        <v>964</v>
      </c>
      <c r="AG10" s="157"/>
      <c r="AH10" s="157"/>
      <c r="AI10" s="157"/>
      <c r="AJ10" s="157"/>
      <c r="AK10" s="157"/>
    </row>
    <row r="11" spans="2:46" ht="15" customHeight="1">
      <c r="B11" s="203"/>
      <c r="C11" s="204"/>
      <c r="D11" s="204"/>
      <c r="E11" s="204"/>
      <c r="F11" s="204"/>
      <c r="G11" s="204"/>
      <c r="H11" s="204"/>
      <c r="I11" s="204"/>
      <c r="J11" s="204"/>
      <c r="K11" s="204"/>
      <c r="L11" s="161"/>
      <c r="M11" s="161"/>
      <c r="N11" s="161"/>
      <c r="O11" s="161"/>
      <c r="P11" s="161"/>
      <c r="Q11" s="204"/>
      <c r="R11" s="204"/>
      <c r="S11" s="161"/>
      <c r="T11" s="161"/>
      <c r="U11" s="161"/>
      <c r="V11" s="161"/>
      <c r="AC11" s="146"/>
      <c r="AF11" s="162">
        <f>COUNTIF(AS16:AS20,"Warning")</f>
        <v>0</v>
      </c>
      <c r="AG11" s="157"/>
      <c r="AH11" s="157"/>
      <c r="AI11" s="157"/>
      <c r="AJ11" s="157"/>
      <c r="AK11" s="157"/>
      <c r="AN11" s="103" t="s">
        <v>1077</v>
      </c>
    </row>
    <row r="12" spans="2:46" ht="18.5">
      <c r="B12" s="1014" t="s">
        <v>646</v>
      </c>
      <c r="C12" s="1015"/>
      <c r="D12" s="1015"/>
      <c r="E12" s="621"/>
      <c r="F12" s="1049" t="str">
        <f>IF(AE22&gt;0,"Highlighted SAR is significantly different from SAR calculated from cations","")</f>
        <v/>
      </c>
      <c r="G12" s="1049"/>
      <c r="H12" s="1049"/>
      <c r="I12" s="1049"/>
      <c r="J12" s="1049"/>
      <c r="K12" s="1049"/>
      <c r="L12" s="161"/>
      <c r="M12" s="161"/>
      <c r="N12" s="161"/>
      <c r="O12" s="161"/>
      <c r="P12" s="161"/>
      <c r="Q12" s="207" t="s">
        <v>748</v>
      </c>
      <c r="R12" s="208"/>
      <c r="S12" s="208"/>
      <c r="T12" s="208"/>
      <c r="U12" s="208"/>
      <c r="V12" s="161"/>
      <c r="AC12" s="146"/>
      <c r="AF12" s="49"/>
      <c r="AG12" s="49"/>
      <c r="AH12" s="49"/>
      <c r="AI12" s="49"/>
      <c r="AJ12" s="49"/>
      <c r="AK12" s="49"/>
    </row>
    <row r="13" spans="2:46">
      <c r="B13" s="169"/>
      <c r="C13" s="161"/>
      <c r="D13" s="131" t="s">
        <v>754</v>
      </c>
      <c r="E13" s="131"/>
      <c r="F13" s="205" t="s">
        <v>755</v>
      </c>
      <c r="G13" s="205"/>
      <c r="H13" s="206"/>
      <c r="I13" s="1046" t="s">
        <v>484</v>
      </c>
      <c r="J13" s="1046" t="s">
        <v>485</v>
      </c>
      <c r="K13" s="1041" t="s">
        <v>897</v>
      </c>
      <c r="L13" s="1042"/>
      <c r="M13" s="1042"/>
      <c r="N13" s="1042"/>
      <c r="O13" s="1042"/>
      <c r="P13" s="1042"/>
      <c r="Q13" s="1042"/>
      <c r="R13" s="1042"/>
      <c r="S13" s="1042"/>
      <c r="T13" s="1042"/>
      <c r="U13" s="1043"/>
      <c r="V13" s="161"/>
      <c r="AC13" s="146"/>
      <c r="AF13" s="49"/>
      <c r="AG13" s="49"/>
      <c r="AH13" s="49"/>
      <c r="AI13" s="49"/>
      <c r="AJ13" s="49"/>
      <c r="AK13" s="49"/>
    </row>
    <row r="14" spans="2:46" ht="24" customHeight="1">
      <c r="B14" s="169"/>
      <c r="C14" s="1047" t="s">
        <v>483</v>
      </c>
      <c r="D14" s="998" t="s">
        <v>1092</v>
      </c>
      <c r="E14" s="993" t="s">
        <v>1093</v>
      </c>
      <c r="F14" s="993" t="s">
        <v>59</v>
      </c>
      <c r="G14" s="998" t="s">
        <v>1083</v>
      </c>
      <c r="H14" s="993" t="s">
        <v>60</v>
      </c>
      <c r="I14" s="1046"/>
      <c r="J14" s="1046"/>
      <c r="K14" s="1044" t="s">
        <v>1082</v>
      </c>
      <c r="L14" s="993" t="s">
        <v>9</v>
      </c>
      <c r="M14" s="993" t="s">
        <v>61</v>
      </c>
      <c r="N14" s="993" t="s">
        <v>62</v>
      </c>
      <c r="O14" s="993" t="s">
        <v>63</v>
      </c>
      <c r="P14" s="993" t="s">
        <v>7</v>
      </c>
      <c r="Q14" s="993" t="s">
        <v>64</v>
      </c>
      <c r="R14" s="993" t="s">
        <v>65</v>
      </c>
      <c r="S14" s="993" t="s">
        <v>66</v>
      </c>
      <c r="T14" s="1020" t="s">
        <v>486</v>
      </c>
      <c r="U14" s="118" t="s">
        <v>58</v>
      </c>
      <c r="V14" s="122" t="s">
        <v>5</v>
      </c>
      <c r="W14" s="118" t="s">
        <v>144</v>
      </c>
      <c r="X14" s="118" t="s">
        <v>145</v>
      </c>
      <c r="AC14" s="146"/>
      <c r="AI14" s="49" t="s">
        <v>150</v>
      </c>
      <c r="AJ14" s="49"/>
      <c r="AK14" s="49"/>
      <c r="AL14" s="49"/>
      <c r="AM14" s="49"/>
      <c r="AN14" s="49"/>
      <c r="AS14" s="991" t="s">
        <v>963</v>
      </c>
    </row>
    <row r="15" spans="2:46" ht="29.25" customHeight="1">
      <c r="B15" s="124" t="s">
        <v>71</v>
      </c>
      <c r="C15" s="1048"/>
      <c r="D15" s="999"/>
      <c r="E15" s="994"/>
      <c r="F15" s="994"/>
      <c r="G15" s="999"/>
      <c r="H15" s="994"/>
      <c r="I15" s="1046"/>
      <c r="J15" s="1046"/>
      <c r="K15" s="1045"/>
      <c r="L15" s="994"/>
      <c r="M15" s="994"/>
      <c r="N15" s="994"/>
      <c r="O15" s="994"/>
      <c r="P15" s="994"/>
      <c r="Q15" s="994"/>
      <c r="R15" s="994"/>
      <c r="S15" s="994"/>
      <c r="T15" s="1021"/>
      <c r="U15" s="123" t="s">
        <v>68</v>
      </c>
      <c r="V15" s="120"/>
      <c r="W15" s="83" t="s">
        <v>153</v>
      </c>
      <c r="X15" s="83" t="s">
        <v>146</v>
      </c>
      <c r="AC15" s="146"/>
      <c r="AE15" s="103" t="s">
        <v>1480</v>
      </c>
      <c r="AI15" s="49" t="s">
        <v>147</v>
      </c>
      <c r="AJ15" s="49" t="s">
        <v>148</v>
      </c>
      <c r="AK15" s="49" t="s">
        <v>149</v>
      </c>
      <c r="AL15" s="49"/>
      <c r="AM15" s="49"/>
      <c r="AN15" s="49" t="s">
        <v>60</v>
      </c>
      <c r="AO15" s="103" t="s">
        <v>1078</v>
      </c>
      <c r="AP15" s="103" t="s">
        <v>1081</v>
      </c>
      <c r="AQ15" s="103" t="s">
        <v>1079</v>
      </c>
      <c r="AR15" s="103" t="s">
        <v>1076</v>
      </c>
      <c r="AS15" s="991"/>
    </row>
    <row r="16" spans="2:46">
      <c r="B16" s="247">
        <v>1</v>
      </c>
      <c r="C16" s="121" t="s">
        <v>1728</v>
      </c>
      <c r="D16" s="274" t="s">
        <v>67</v>
      </c>
      <c r="E16" s="768">
        <v>1.107</v>
      </c>
      <c r="F16" s="768">
        <v>19</v>
      </c>
      <c r="G16" s="274" t="s">
        <v>143</v>
      </c>
      <c r="H16" s="672">
        <v>0</v>
      </c>
      <c r="I16" s="768">
        <v>904</v>
      </c>
      <c r="J16" s="768">
        <v>500</v>
      </c>
      <c r="K16" s="274" t="s">
        <v>143</v>
      </c>
      <c r="L16" s="723">
        <v>14</v>
      </c>
      <c r="M16" s="723">
        <v>0.85</v>
      </c>
      <c r="N16" s="723">
        <v>0.15</v>
      </c>
      <c r="O16" s="723">
        <v>0.06</v>
      </c>
      <c r="P16" s="723">
        <v>1.97</v>
      </c>
      <c r="Q16" s="723">
        <v>0.85</v>
      </c>
      <c r="R16" s="723">
        <v>7.6</v>
      </c>
      <c r="S16" s="723">
        <v>0.01</v>
      </c>
      <c r="T16" s="875">
        <f>IF(SUM(L16:S16)&gt;0,((SUM(I24:L24)-SUM(M24:P24))/(SUM(I24:L24)+SUM(M24:P24)))," ")</f>
        <v>0.1816398587681444</v>
      </c>
      <c r="U16" s="674"/>
      <c r="V16" s="674"/>
      <c r="W16" s="674"/>
      <c r="X16" s="674"/>
      <c r="AC16" s="146"/>
      <c r="AE16" s="103" t="s">
        <v>148</v>
      </c>
      <c r="AF16" s="103" t="s">
        <v>1508</v>
      </c>
      <c r="AI16" s="157" t="b">
        <f>OR(ISNUMBER(E16),ISNUMBER(U16),(AND(ISNUMBER(L16),ISNUMBER(M16),ISNUMBER(N16))),(AND(ISNUMBER(P16),ISNUMBER(Q16),ISNUMBER(R16))))</f>
        <v>1</v>
      </c>
      <c r="AJ16" s="157" t="b">
        <f>OR(ISNUMBER(F16),AND(ISNUMBER(L16),ISNUMBER(M16),ISNUMBER(N16)),ISNUMBER(X16),AND(ISNUMBER(M16),ISNUMBER(N16),AI16))</f>
        <v>1</v>
      </c>
      <c r="AK16" s="157" t="b">
        <f>OR(ISNUMBER(H16),AND(ISNUMBER(W16),ISNUMBER(X16)),AND(ISNUMBER(M16),ISNUMBER(N16),ISNUMBER(R16),ISNUMBER(S16)),AND(ISNUMBER(M16),ISNUMBER(N16),ISNUMBER(R16)))</f>
        <v>1</v>
      </c>
      <c r="AL16" s="157" t="b">
        <f>AND(AI16,AJ16,AK16)</f>
        <v>1</v>
      </c>
      <c r="AM16" s="157">
        <f>IF(AL16,1,2)</f>
        <v>1</v>
      </c>
      <c r="AN16" s="157">
        <f>IF(AM16=1,IF(ISNUMBER(H16),H16,"FALSE"))</f>
        <v>0</v>
      </c>
      <c r="AO16" s="103">
        <f>IF(AND(ISNUMBER(J24),ISNUMBER(K24),ISNUMBER(O24),ISNUMBER(P24)),(O24+P24)-(J24+K24),FALSE)</f>
        <v>6.6099999999999994</v>
      </c>
      <c r="AP16" s="103">
        <f>IF(AND(ISNUMBER(J24),ISNUMBER(K24),ISNUMBER(O24)),(O24)-(J24+K24),FALSE)</f>
        <v>6.6</v>
      </c>
      <c r="AQ16" s="103">
        <f>IF(ISNUMBER(AN16),AN16,IF(AND(AN16="FALSE",ISNUMBER(AO16)),AO16,IF(ISNUMBER(AP16),AP16,"FALSE")))</f>
        <v>0</v>
      </c>
      <c r="AR16" s="103">
        <f>IF(AQ16&lt;0,0,AQ16)</f>
        <v>0</v>
      </c>
      <c r="AS16" s="607" t="b">
        <f>IF(SUM(I16:J16)&gt;2100,)</f>
        <v>0</v>
      </c>
      <c r="AT16" s="103">
        <f>IF(AS16=0,1,)</f>
        <v>0</v>
      </c>
    </row>
    <row r="17" spans="2:46">
      <c r="B17" s="247">
        <v>2</v>
      </c>
      <c r="C17" s="770" t="s">
        <v>1651</v>
      </c>
      <c r="D17" s="274" t="s">
        <v>67</v>
      </c>
      <c r="E17" s="768">
        <v>1.35</v>
      </c>
      <c r="F17" s="768">
        <v>6.5</v>
      </c>
      <c r="G17" s="274" t="s">
        <v>143</v>
      </c>
      <c r="H17" s="478">
        <v>2.31</v>
      </c>
      <c r="I17" s="768">
        <v>950</v>
      </c>
      <c r="J17" s="768">
        <v>950</v>
      </c>
      <c r="K17" s="274" t="s">
        <v>143</v>
      </c>
      <c r="L17" s="736">
        <v>9.35</v>
      </c>
      <c r="M17" s="736">
        <v>1.83</v>
      </c>
      <c r="N17" s="736">
        <v>2.2999999999999998</v>
      </c>
      <c r="O17" s="736">
        <v>0.1</v>
      </c>
      <c r="P17" s="736">
        <v>6.47</v>
      </c>
      <c r="Q17" s="736">
        <v>0.55000000000000004</v>
      </c>
      <c r="R17" s="736">
        <v>6.31</v>
      </c>
      <c r="S17" s="736">
        <v>0.1</v>
      </c>
      <c r="T17" s="875">
        <f t="shared" ref="T17:T20" si="1">IF(SUM(L17:S17)&gt;0,((SUM(I25:L25)-SUM(M25:P25))/(SUM(I25:L25)+SUM(M25:P25)))," ")</f>
        <v>5.5534987041837153E-3</v>
      </c>
      <c r="U17" s="410"/>
      <c r="V17" s="410"/>
      <c r="W17" s="410"/>
      <c r="X17" s="410"/>
      <c r="AC17" s="146"/>
      <c r="AE17" s="103">
        <f>IF(ISNUMBER(AF17),IF(OR(AF17&gt;=1.15,AF17&lt;=0.8),1,0),0)</f>
        <v>0</v>
      </c>
      <c r="AF17" s="103">
        <f>(F16/E24)</f>
        <v>0.95964491732460022</v>
      </c>
      <c r="AI17" s="157" t="b">
        <f>OR(ISNUMBER(E17),ISNUMBER(U17),(AND(ISNUMBER(L17),ISNUMBER(M17),ISNUMBER(N17))),(AND(ISNUMBER(P17),ISNUMBER(Q17),ISNUMBER(R17))))</f>
        <v>1</v>
      </c>
      <c r="AJ17" s="157" t="b">
        <f>OR(ISNUMBER(F17),AND(ISNUMBER(L17),ISNUMBER(M17),ISNUMBER(N17)),ISNUMBER(X17),AND(ISNUMBER(M17),ISNUMBER(N17),AI17))</f>
        <v>1</v>
      </c>
      <c r="AK17" s="157" t="b">
        <f>OR(ISNUMBER(H17),AND(ISNUMBER(W17),ISNUMBER(X17)),AND(ISNUMBER(M17),ISNUMBER(N17),ISNUMBER(R17),ISNUMBER(S17)),AND(ISNUMBER(M17),ISNUMBER(N17),ISNUMBER(R17)))</f>
        <v>1</v>
      </c>
      <c r="AL17" s="157" t="b">
        <f>AND(AI17,AJ17,AK17)</f>
        <v>1</v>
      </c>
      <c r="AM17" s="157">
        <f>IF(AL17,1,2)</f>
        <v>1</v>
      </c>
      <c r="AN17" s="157">
        <f>IF(AM17=1,IF(ISNUMBER(H17),H17,"FALSE"))</f>
        <v>2.31</v>
      </c>
      <c r="AO17" s="103">
        <f>IF(AND(ISNUMBER(J25),ISNUMBER(K25),ISNUMBER(O25),ISNUMBER(P25)),(O25+P25)-(J25+K25),FALSE)</f>
        <v>2.2799999999999994</v>
      </c>
      <c r="AP17" s="103">
        <f>IF(AND(ISNUMBER(J25),ISNUMBER(K25),ISNUMBER(O25)),(O25)-(J25+K25),FALSE)</f>
        <v>2.1799999999999997</v>
      </c>
      <c r="AQ17" s="103">
        <f>IF(ISNUMBER(AN17),AN17,IF(AND(AN17="FALSE",ISNUMBER(AO17)),AO17,IF(ISNUMBER(AP17),AP17,"FALSE")))</f>
        <v>2.31</v>
      </c>
      <c r="AR17" s="103">
        <f>IF(AQ17&lt;0,0,AQ17)</f>
        <v>2.31</v>
      </c>
      <c r="AS17" s="607" t="b">
        <f>IF(SUM(I17:J17)&gt;2100,)</f>
        <v>0</v>
      </c>
      <c r="AT17" s="103">
        <f>IF(AS17=0,2,)</f>
        <v>0</v>
      </c>
    </row>
    <row r="18" spans="2:46">
      <c r="B18" s="247">
        <v>3</v>
      </c>
      <c r="C18" s="770">
        <v>14310218</v>
      </c>
      <c r="D18" s="274" t="s">
        <v>67</v>
      </c>
      <c r="E18" s="410">
        <v>5.6</v>
      </c>
      <c r="F18" s="750">
        <v>26</v>
      </c>
      <c r="G18" s="274" t="s">
        <v>143</v>
      </c>
      <c r="H18" s="410">
        <v>7.5</v>
      </c>
      <c r="I18" s="768">
        <v>904</v>
      </c>
      <c r="J18" s="768">
        <v>500</v>
      </c>
      <c r="K18" s="274" t="s">
        <v>143</v>
      </c>
      <c r="L18" s="750">
        <v>47.39</v>
      </c>
      <c r="M18" s="750">
        <v>3.3</v>
      </c>
      <c r="N18" s="750">
        <v>3.52</v>
      </c>
      <c r="O18" s="750">
        <v>0.1</v>
      </c>
      <c r="P18" s="750">
        <v>40.85</v>
      </c>
      <c r="Q18" s="750">
        <v>0.98</v>
      </c>
      <c r="R18" s="750">
        <v>13.85</v>
      </c>
      <c r="S18" s="750">
        <v>0</v>
      </c>
      <c r="T18" s="875">
        <f t="shared" si="1"/>
        <v>-1.2455677788889875E-2</v>
      </c>
      <c r="U18" s="410"/>
      <c r="V18" s="410"/>
      <c r="W18" s="410"/>
      <c r="X18" s="410"/>
      <c r="AC18" s="146"/>
      <c r="AE18" s="103">
        <f>IF(ISNUMBER(AF18),IF(OR(AF18&gt;=1.15,AF18&lt;=0.8),1,0),0)</f>
        <v>0</v>
      </c>
      <c r="AF18" s="103">
        <f>(F17/E25)</f>
        <v>0.99899145573047543</v>
      </c>
      <c r="AI18" s="157" t="b">
        <f>OR(ISNUMBER(E18),ISNUMBER(U18),(AND(ISNUMBER(L18),ISNUMBER(M18),ISNUMBER(N18))),(AND(ISNUMBER(P18),ISNUMBER(Q18),ISNUMBER(R18))))</f>
        <v>1</v>
      </c>
      <c r="AJ18" s="157" t="b">
        <f>OR(ISNUMBER(F18),AND(ISNUMBER(L18),ISNUMBER(M18),ISNUMBER(N18)),ISNUMBER(X18),AND(ISNUMBER(M18),ISNUMBER(N18),AI18))</f>
        <v>1</v>
      </c>
      <c r="AK18" s="157" t="b">
        <f>OR(ISNUMBER(H18),AND(ISNUMBER(W18),ISNUMBER(X18)),AND(ISNUMBER(M18),ISNUMBER(N18),ISNUMBER(R18),ISNUMBER(S18)),AND(ISNUMBER(M18),ISNUMBER(N18),ISNUMBER(R18)))</f>
        <v>1</v>
      </c>
      <c r="AL18" s="157" t="b">
        <f>AND(AI18,AJ18,AK18)</f>
        <v>1</v>
      </c>
      <c r="AM18" s="157">
        <f>IF(AL18,1,2)</f>
        <v>1</v>
      </c>
      <c r="AN18" s="157">
        <f>IF(AM18=1,IF(ISNUMBER(H18),H18,"FALSE"))</f>
        <v>7.5</v>
      </c>
      <c r="AO18" s="103">
        <f>IF(AND(ISNUMBER(J26),ISNUMBER(K26),ISNUMBER(O26),ISNUMBER(P26)),(O26+P26)-(J26+K26),FALSE)</f>
        <v>7.0299999999999994</v>
      </c>
      <c r="AP18" s="103">
        <f>IF(AND(ISNUMBER(J26),ISNUMBER(K26),ISNUMBER(O26)),(O26)-(J26+K26),FALSE)</f>
        <v>7.0299999999999994</v>
      </c>
      <c r="AQ18" s="103">
        <f>IF(ISNUMBER(AN18),AN18,IF(AND(AN18="FALSE",ISNUMBER(AO18)),AO18,IF(ISNUMBER(AP18),AP18,"FALSE")))</f>
        <v>7.5</v>
      </c>
      <c r="AR18" s="103">
        <f>IF(AQ18&lt;0,0,AQ18)</f>
        <v>7.5</v>
      </c>
      <c r="AS18" s="607" t="b">
        <f>IF(SUM(I18:J18)&gt;2100,)</f>
        <v>0</v>
      </c>
      <c r="AT18" s="103">
        <f>IF(AS18=0,3,)</f>
        <v>0</v>
      </c>
    </row>
    <row r="19" spans="2:46">
      <c r="B19" s="125">
        <v>4</v>
      </c>
      <c r="C19" s="770" t="s">
        <v>1652</v>
      </c>
      <c r="D19" s="274" t="s">
        <v>67</v>
      </c>
      <c r="E19" s="410">
        <v>3.1</v>
      </c>
      <c r="F19" s="750">
        <v>2</v>
      </c>
      <c r="G19" s="274" t="s">
        <v>143</v>
      </c>
      <c r="H19" s="410">
        <v>0</v>
      </c>
      <c r="I19" s="768">
        <v>800</v>
      </c>
      <c r="J19" s="768">
        <v>450</v>
      </c>
      <c r="K19" s="274" t="s">
        <v>143</v>
      </c>
      <c r="L19" s="750">
        <v>7.17</v>
      </c>
      <c r="M19" s="750">
        <v>6.5</v>
      </c>
      <c r="N19" s="750">
        <v>18.03</v>
      </c>
      <c r="O19" s="750">
        <v>0.1</v>
      </c>
      <c r="P19" s="750">
        <v>23.66</v>
      </c>
      <c r="Q19" s="750">
        <v>0.05</v>
      </c>
      <c r="R19" s="750">
        <v>7.05</v>
      </c>
      <c r="S19" s="750">
        <v>0</v>
      </c>
      <c r="T19" s="875">
        <f t="shared" si="1"/>
        <v>1.6624040920716156E-2</v>
      </c>
      <c r="U19" s="410"/>
      <c r="V19" s="410"/>
      <c r="W19" s="410"/>
      <c r="X19" s="410"/>
      <c r="AC19" s="146"/>
      <c r="AE19" s="103">
        <f>IF(ISNUMBER(AF19),IF(OR(AF19&gt;=1.15,AF19&lt;=0.8),1,0),0)</f>
        <v>0</v>
      </c>
      <c r="AF19" s="103">
        <f>(F18/E26)</f>
        <v>1.0131268582572359</v>
      </c>
      <c r="AI19" s="157" t="b">
        <f>OR(ISNUMBER(E19),ISNUMBER(U19),(AND(ISNUMBER(L19),ISNUMBER(M19),ISNUMBER(N19))),(AND(ISNUMBER(P19),ISNUMBER(Q19),ISNUMBER(R19))))</f>
        <v>1</v>
      </c>
      <c r="AJ19" s="157" t="b">
        <f>OR(ISNUMBER(F19),AND(ISNUMBER(L19),ISNUMBER(M19),ISNUMBER(N19)),ISNUMBER(X19),AND(ISNUMBER(M19),ISNUMBER(N19),AI19))</f>
        <v>1</v>
      </c>
      <c r="AK19" s="157" t="b">
        <f>OR(ISNUMBER(H19),AND(ISNUMBER(W19),ISNUMBER(X19)),AND(ISNUMBER(M19),ISNUMBER(N19),ISNUMBER(R19),ISNUMBER(S19)),AND(ISNUMBER(M19),ISNUMBER(N19),ISNUMBER(R19)))</f>
        <v>1</v>
      </c>
      <c r="AL19" s="157" t="b">
        <f>AND(AI19,AJ19,AK19)</f>
        <v>1</v>
      </c>
      <c r="AM19" s="157">
        <f>IF(AL19,1,2)</f>
        <v>1</v>
      </c>
      <c r="AN19" s="157">
        <f>IF(AM19=1,IF(ISNUMBER(H19),H19,"FALSE"))</f>
        <v>0</v>
      </c>
      <c r="AO19" s="103">
        <f>IF(AND(ISNUMBER(J27),ISNUMBER(K27),ISNUMBER(O27),ISNUMBER(P27)),(O27+P27)-(J27+K27),FALSE)</f>
        <v>-17.48</v>
      </c>
      <c r="AP19" s="103">
        <f>IF(AND(ISNUMBER(J27),ISNUMBER(K27),ISNUMBER(O27)),(O27)-(J27+K27),FALSE)</f>
        <v>-17.48</v>
      </c>
      <c r="AQ19" s="103">
        <f>IF(ISNUMBER(AN19),AN19,IF(AND(AN19="FALSE",ISNUMBER(AO19)),AO19,IF(ISNUMBER(AP19),AP19,"FALSE")))</f>
        <v>0</v>
      </c>
      <c r="AR19" s="103">
        <f>IF(AQ19&lt;0,0,AQ19)</f>
        <v>0</v>
      </c>
      <c r="AS19" s="607" t="b">
        <f>IF(SUM(I19:J19)&gt;2100,)</f>
        <v>0</v>
      </c>
      <c r="AT19" s="103">
        <f>IF(AS19=0,4,)</f>
        <v>0</v>
      </c>
    </row>
    <row r="20" spans="2:46">
      <c r="B20" s="125">
        <v>5</v>
      </c>
      <c r="C20" s="121" t="s">
        <v>1572</v>
      </c>
      <c r="D20" s="274" t="s">
        <v>67</v>
      </c>
      <c r="E20" s="410">
        <v>0.03</v>
      </c>
      <c r="F20" s="410">
        <v>0.52</v>
      </c>
      <c r="G20" s="274" t="s">
        <v>143</v>
      </c>
      <c r="H20" s="410"/>
      <c r="I20" s="743">
        <v>1320</v>
      </c>
      <c r="J20" s="164">
        <v>0</v>
      </c>
      <c r="K20" s="274" t="s">
        <v>143</v>
      </c>
      <c r="L20" s="410">
        <v>0.09</v>
      </c>
      <c r="M20" s="410">
        <v>0.04</v>
      </c>
      <c r="N20" s="410">
        <v>0.02</v>
      </c>
      <c r="O20" s="410">
        <v>0</v>
      </c>
      <c r="P20" s="410">
        <v>0.1</v>
      </c>
      <c r="Q20" s="410">
        <v>0.06</v>
      </c>
      <c r="R20" s="410">
        <v>0.01</v>
      </c>
      <c r="S20" s="410">
        <v>0</v>
      </c>
      <c r="T20" s="875">
        <f t="shared" si="1"/>
        <v>-6.2500000000000056E-2</v>
      </c>
      <c r="U20" s="410"/>
      <c r="V20" s="410"/>
      <c r="W20" s="410"/>
      <c r="X20" s="410"/>
      <c r="AC20" s="146"/>
      <c r="AE20" s="103">
        <f>IF(ISNUMBER(AF20),IF(OR(AF20&gt;=1.15,AF20&lt;=0.8),1,0),0)</f>
        <v>0</v>
      </c>
      <c r="AF20" s="103">
        <f>(F19/E27)</f>
        <v>0.97688764339400058</v>
      </c>
      <c r="AI20" s="157" t="b">
        <f>OR(ISNUMBER(E20),ISNUMBER(U20),(AND(ISNUMBER(L20),ISNUMBER(M20),ISNUMBER(N20))),(AND(ISNUMBER(P20),ISNUMBER(Q20),ISNUMBER(R20))))</f>
        <v>1</v>
      </c>
      <c r="AJ20" s="157" t="b">
        <f>OR(ISNUMBER(F20),AND(ISNUMBER(L20),ISNUMBER(M20),ISNUMBER(N20)),ISNUMBER(X20),AND(ISNUMBER(M20),ISNUMBER(N20),AI20))</f>
        <v>1</v>
      </c>
      <c r="AK20" s="157" t="b">
        <f>OR(ISNUMBER(H20),AND(ISNUMBER(W20),ISNUMBER(X20)),AND(ISNUMBER(M20),ISNUMBER(N20),ISNUMBER(R20),ISNUMBER(S20)),AND(ISNUMBER(M20),ISNUMBER(N20),ISNUMBER(R20)))</f>
        <v>1</v>
      </c>
      <c r="AL20" s="157" t="b">
        <f>AND(AI20,AJ20,AK20)</f>
        <v>1</v>
      </c>
      <c r="AM20" s="157">
        <f>IF(AL20,1,2)</f>
        <v>1</v>
      </c>
      <c r="AN20" s="157" t="str">
        <f>IF(AM20=1,IF(ISNUMBER(H20),H20,"FALSE"))</f>
        <v>FALSE</v>
      </c>
      <c r="AO20" s="103">
        <f>IF(AND(ISNUMBER(J28),ISNUMBER(K28),ISNUMBER(O28),ISNUMBER(P28)),(O28+P28)-(J28+K28),FALSE)</f>
        <v>-4.9999999999999996E-2</v>
      </c>
      <c r="AP20" s="103">
        <f>IF(AND(ISNUMBER(J28),ISNUMBER(K28),ISNUMBER(O28)),(O28)-(J28+K28),FALSE)</f>
        <v>-4.9999999999999996E-2</v>
      </c>
      <c r="AQ20" s="103">
        <f>IF(ISNUMBER(AN20),AN20,IF(AND(AN20="FALSE",ISNUMBER(AO20)),AO20,IF(ISNUMBER(AP20),AP20,"FALSE")))</f>
        <v>-4.9999999999999996E-2</v>
      </c>
      <c r="AR20" s="103">
        <f>IF(AQ20&lt;0,0,AQ20)</f>
        <v>0</v>
      </c>
      <c r="AS20" s="607" t="b">
        <f>IF(SUM(I20:J20)&gt;2100,)</f>
        <v>0</v>
      </c>
      <c r="AT20" s="103">
        <f>IF(AS20=0,5,)</f>
        <v>0</v>
      </c>
    </row>
    <row r="21" spans="2:46" ht="15" customHeight="1">
      <c r="B21" s="126"/>
      <c r="C21" s="744" t="str">
        <f>IF(AP5&gt;1,"Please Check: Not all EC units are the same","")</f>
        <v/>
      </c>
      <c r="D21" s="423"/>
      <c r="E21" s="423"/>
      <c r="G21" s="491" t="str">
        <f>IF(AN21=1,"Warning: Total water input in Site " &amp; AO21 &amp; " exceeds values used in deriving the predictive model and thus is an extrapolation to be used with caution",IF(AN21&gt;1,"Warning: Total water input in more than one site exceeds values used in deriving the predictive model and thus is an extrapolation to be used with caution",""))</f>
        <v/>
      </c>
      <c r="H21" s="489"/>
      <c r="I21" s="489"/>
      <c r="J21" s="489"/>
      <c r="K21" s="489"/>
      <c r="L21" s="489"/>
      <c r="M21" s="489"/>
      <c r="N21" s="489"/>
      <c r="O21" s="489"/>
      <c r="P21" s="423"/>
      <c r="Q21" s="423"/>
      <c r="R21" s="423"/>
      <c r="S21" s="423"/>
      <c r="T21" s="423"/>
      <c r="U21" s="423"/>
      <c r="V21" s="161"/>
      <c r="AC21" s="146"/>
      <c r="AE21" s="103">
        <f>IF(ISNUMBER(AF21),IF(OR(AF21&gt;=1.15,AF21&lt;=0.8),1,0),0)</f>
        <v>0</v>
      </c>
      <c r="AF21" s="103">
        <f>(F20/E28)</f>
        <v>1.0007404665953514</v>
      </c>
      <c r="AI21" s="49"/>
      <c r="AJ21" s="49"/>
      <c r="AK21" s="49"/>
      <c r="AN21" s="103">
        <f>COUNTIF(AS16:AS20,0)</f>
        <v>0</v>
      </c>
      <c r="AO21" s="103" t="str">
        <f>IF(AN21=1,SUM(AT16:AT20),"")</f>
        <v/>
      </c>
    </row>
    <row r="22" spans="2:46" ht="15" hidden="1" customHeight="1">
      <c r="B22" s="126"/>
      <c r="C22" s="161" t="s">
        <v>154</v>
      </c>
      <c r="D22" s="117"/>
      <c r="E22" s="161"/>
      <c r="F22" s="161"/>
      <c r="G22" s="490"/>
      <c r="H22" s="490"/>
      <c r="I22" s="490"/>
      <c r="J22" s="490"/>
      <c r="K22" s="490"/>
      <c r="L22" s="490"/>
      <c r="M22" s="490"/>
      <c r="N22" s="490"/>
      <c r="O22" s="490"/>
      <c r="P22" s="161"/>
      <c r="Q22" s="161"/>
      <c r="R22" s="161"/>
      <c r="S22" s="161"/>
      <c r="T22" s="161"/>
      <c r="U22" s="161"/>
      <c r="V22" s="161"/>
      <c r="AC22" s="146"/>
      <c r="AE22" s="103">
        <f>SUM(AE17:AE21)</f>
        <v>0</v>
      </c>
      <c r="AF22" s="49"/>
      <c r="AG22" s="49"/>
      <c r="AH22" s="49"/>
      <c r="AI22" s="49"/>
      <c r="AJ22" s="49"/>
      <c r="AK22" s="49"/>
    </row>
    <row r="23" spans="2:46" ht="15" hidden="1" customHeight="1">
      <c r="B23" s="126"/>
      <c r="C23" s="161"/>
      <c r="D23" s="117" t="s">
        <v>6</v>
      </c>
      <c r="E23" s="161" t="s">
        <v>148</v>
      </c>
      <c r="F23" s="161" t="s">
        <v>60</v>
      </c>
      <c r="G23" s="161"/>
      <c r="H23" s="161"/>
      <c r="I23" s="161" t="s">
        <v>9</v>
      </c>
      <c r="J23" s="161" t="s">
        <v>61</v>
      </c>
      <c r="K23" s="161" t="s">
        <v>62</v>
      </c>
      <c r="L23" s="161" t="s">
        <v>63</v>
      </c>
      <c r="M23" s="161" t="s">
        <v>7</v>
      </c>
      <c r="N23" s="161" t="s">
        <v>64</v>
      </c>
      <c r="O23" s="161" t="s">
        <v>65</v>
      </c>
      <c r="P23" s="161" t="s">
        <v>66</v>
      </c>
      <c r="Q23" s="161" t="s">
        <v>580</v>
      </c>
      <c r="R23" s="161"/>
      <c r="S23" s="161"/>
      <c r="T23" s="162" t="s">
        <v>581</v>
      </c>
      <c r="U23" s="162" t="s">
        <v>582</v>
      </c>
      <c r="V23" s="161"/>
      <c r="AC23" s="146"/>
      <c r="AF23" s="716"/>
      <c r="AG23" s="716"/>
      <c r="AH23" s="716"/>
      <c r="AI23" s="716"/>
      <c r="AJ23" s="716"/>
      <c r="AK23" s="716"/>
      <c r="AL23" s="716"/>
      <c r="AM23" s="716"/>
      <c r="AN23" s="716"/>
      <c r="AO23" s="716" t="s">
        <v>1570</v>
      </c>
      <c r="AP23" s="716"/>
      <c r="AQ23" s="716"/>
      <c r="AR23" s="716"/>
      <c r="AS23" s="716"/>
    </row>
    <row r="24" spans="2:46" ht="15" hidden="1" customHeight="1">
      <c r="B24" s="126">
        <v>1</v>
      </c>
      <c r="C24" s="161"/>
      <c r="D24" s="117">
        <f>IF(ISNUMBER(E16),IF(D16="dS/m",E16,IF(D16="µS/cm",E16/1000,IF(D16="grains/gallon",E16*0.02,"Wrong Unit Chosen"))),"")</f>
        <v>1.107</v>
      </c>
      <c r="E24" s="161">
        <f>(I24/(((J24+K24)/2)^0.5))</f>
        <v>19.798989873223331</v>
      </c>
      <c r="F24" s="161">
        <f>IF(ISNUMBER(AR16),AR16,"")</f>
        <v>0</v>
      </c>
      <c r="G24" s="161"/>
      <c r="H24" s="161"/>
      <c r="I24" s="184">
        <f>IF(ISNUMBER(L16),IF(OR($K16="mmolc/L",$K16="meq/L"),L16,IF(OR($K16="mg/L",$K16="ppm"),L16/23,"Wrong unit used")),"")</f>
        <v>14</v>
      </c>
      <c r="J24" s="184">
        <f>IF(ISNUMBER(M16),IF(OR($K16="mmolc/L",$K16="meq/L"),M16,IF(OR($K16="mg/L",$K16="ppm"),M16/20,"Wrong unit used")),"")</f>
        <v>0.85</v>
      </c>
      <c r="K24" s="184">
        <f>IF(ISNUMBER(N16),IF(OR($K16="mmolc/L",$K16="meq/L"),N16,IF(OR($K16="mg/L",$K16="ppm"),N16/12.2,"Wrong unit used")),"")</f>
        <v>0.15</v>
      </c>
      <c r="L24" s="184">
        <f>IF(ISNUMBER(O16),IF(OR($K16="mmolc/L",$K16="meq/L"),O16,IF(OR($K16="mg/L",$K16="ppm"),O16/39.1,"Wrong unit used")),"")</f>
        <v>0.06</v>
      </c>
      <c r="M24" s="184">
        <f>IF(ISNUMBER(P16),IF(OR($K16="mmolc/L",$K16="meq/L"),P16,IF(OR($K16="mg/L",$K16="ppm"),P16/35.5,"Wrong unit used")),"")</f>
        <v>1.97</v>
      </c>
      <c r="N24" s="184">
        <f>IF(ISNUMBER(Q16),IF(OR($K16="mmolc/L",$K16="meq/L"),Q16,IF(OR($K16="mg/L",$K16="ppm"),Q16/48,"Wrong unit used")),"")</f>
        <v>0.85</v>
      </c>
      <c r="O24" s="184">
        <f>IF(ISNUMBER(R16),IF(OR($K16="mmolc/L",$K16="meq/L"),R16,IF(OR($K16="mg/L",$K16="ppm"),R16/61,"Wrong unit used")),"")</f>
        <v>7.6</v>
      </c>
      <c r="P24" s="184">
        <f>IF(ISNUMBER(S16),IF(OR(K16="mmolc/L",K16="meq/L"),S16,IF(OR(K16="mg/L",K16="ppm"),S16/30,"Wrong unit used")),"")</f>
        <v>0.01</v>
      </c>
      <c r="Q24" s="161"/>
      <c r="R24" s="162">
        <f>(1.3477*(SUM(I24:K24))+0.5355)/1000</f>
        <v>2.0750999999999999E-2</v>
      </c>
      <c r="S24" s="161">
        <f>1/3*(4.6629+0.6103*LOG(R24)+0.0844*(LOG(R24)^2)+2*LOG(J24/(2*O24)))</f>
        <v>0.45666352645274816</v>
      </c>
      <c r="T24" s="161">
        <f>10^S24*0.17758</f>
        <v>0.50822681803651792</v>
      </c>
      <c r="U24" s="162">
        <f>I24/SQRT((T24+K24)/2)</f>
        <v>24.403675819467587</v>
      </c>
      <c r="V24" s="161"/>
      <c r="AC24" s="146"/>
      <c r="AF24" s="717" t="s">
        <v>659</v>
      </c>
      <c r="AG24" s="717" t="s">
        <v>579</v>
      </c>
      <c r="AH24" s="717" t="s">
        <v>59</v>
      </c>
      <c r="AI24" s="717" t="s">
        <v>60</v>
      </c>
      <c r="AJ24" s="989" t="s">
        <v>606</v>
      </c>
      <c r="AK24" s="718" t="s">
        <v>605</v>
      </c>
      <c r="AL24" s="989" t="s">
        <v>756</v>
      </c>
      <c r="AM24" s="990" t="s">
        <v>757</v>
      </c>
      <c r="AN24" s="716"/>
      <c r="AO24" s="717" t="s">
        <v>59</v>
      </c>
      <c r="AP24" s="989" t="s">
        <v>606</v>
      </c>
      <c r="AQ24" s="718" t="s">
        <v>605</v>
      </c>
      <c r="AR24" s="989" t="s">
        <v>756</v>
      </c>
      <c r="AS24" s="990" t="s">
        <v>757</v>
      </c>
    </row>
    <row r="25" spans="2:46" ht="15" hidden="1" customHeight="1">
      <c r="B25" s="126">
        <v>2</v>
      </c>
      <c r="C25" s="161"/>
      <c r="D25" s="117">
        <f>IF(ISNUMBER(E17),IF(D17="dS/m",E17,IF(D17="µS/cm",E17/1000,IF(D17="grains/gallon",E17*0.02,"Wrong Unit Chosen"))),"")</f>
        <v>1.35</v>
      </c>
      <c r="E25" s="161">
        <f>(I25/(((J25+K25)/2)^0.5))</f>
        <v>6.5065621559767157</v>
      </c>
      <c r="F25" s="161">
        <f>IF(ISNUMBER(AR17),AR17,"")</f>
        <v>2.31</v>
      </c>
      <c r="G25" s="161"/>
      <c r="H25" s="161"/>
      <c r="I25" s="184">
        <f>IF(ISNUMBER(L17),IF(OR($K17="mmolc/L",$K17="meq/L"),L17,IF(OR($K17="mg/L",$K17="ppm"),L17/23,"Wrong unit used")),"")</f>
        <v>9.35</v>
      </c>
      <c r="J25" s="184">
        <f>IF(ISNUMBER(M17),IF(OR($K17="mmolc/L",$K17="meq/L"),M17,IF(OR($K17="mg/L",$K17="ppm"),M17/20,"Wrong unit used")),"")</f>
        <v>1.83</v>
      </c>
      <c r="K25" s="184">
        <f>IF(ISNUMBER(N17),IF(OR($K17="mmolc/L",$K17="meq/L"),N17,IF(OR($K17="mg/L",$K17="ppm"),N17/12.2,"Wrong unit used")),"")</f>
        <v>2.2999999999999998</v>
      </c>
      <c r="L25" s="184">
        <f>IF(ISNUMBER(O17),IF(OR($K17="mmolc/L",$K17="meq/L"),O17,IF(OR($K17="mg/L",$K17="ppm"),O17/39.1,"Wrong unit used")),"")</f>
        <v>0.1</v>
      </c>
      <c r="M25" s="184">
        <f>IF(ISNUMBER(P17),IF(OR($K17="mmolc/L",$K17="meq/L"),P17,IF(OR($K17="mg/L",$K17="ppm"),P17/35.5,"Wrong unit used")),"")</f>
        <v>6.47</v>
      </c>
      <c r="N25" s="184">
        <f>IF(ISNUMBER(Q17),IF(OR($K17="mmolc/L",$K17="meq/L"),Q17,IF(OR($K17="mg/L",$K17="ppm"),Q17/48,"Wrong unit used")),"")</f>
        <v>0.55000000000000004</v>
      </c>
      <c r="O25" s="184">
        <f>IF(ISNUMBER(R17),IF(OR($K17="mmolc/L",$K17="meq/L"),R17,IF(OR($K17="mg/L",$K17="ppm"),R17/61,"Wrong unit used")),"")</f>
        <v>6.31</v>
      </c>
      <c r="P25" s="184">
        <f>IF(ISNUMBER(S17),IF(OR(K17="mmolc/L",K17="meq/L"),S17,IF(OR(K17="mg/L",K17="ppm"),S17/30,"Wrong unit used")),"")</f>
        <v>0.1</v>
      </c>
      <c r="Q25" s="161"/>
      <c r="R25" s="162">
        <f>(1.3477*(SUM(I25:K25))+0.5355)/1000</f>
        <v>1.8702495999999996E-2</v>
      </c>
      <c r="S25" s="161">
        <f>1/3*(4.6629+0.6103*LOG(R25)+0.0844*(LOG(R25)^2)+2*LOG(J25/(2*O25)))</f>
        <v>0.72769004063369869</v>
      </c>
      <c r="T25" s="161">
        <f>10^S25*0.17758</f>
        <v>0.94860212301099522</v>
      </c>
      <c r="U25" s="162">
        <f>I25/SQRT((T25+K25)/2)</f>
        <v>7.3363213584430929</v>
      </c>
      <c r="V25" s="161"/>
      <c r="AC25" s="146"/>
      <c r="AF25" s="719">
        <f>AF6</f>
        <v>0</v>
      </c>
      <c r="AG25" s="719">
        <f>AF25</f>
        <v>0</v>
      </c>
      <c r="AH25" s="716"/>
      <c r="AI25" s="719">
        <f>AH6</f>
        <v>0</v>
      </c>
      <c r="AJ25" s="989"/>
      <c r="AK25" s="718"/>
      <c r="AL25" s="989"/>
      <c r="AM25" s="990"/>
      <c r="AN25" s="716"/>
      <c r="AO25" s="719"/>
      <c r="AP25" s="989"/>
      <c r="AQ25" s="718"/>
      <c r="AR25" s="989"/>
      <c r="AS25" s="990"/>
    </row>
    <row r="26" spans="2:46" ht="15" hidden="1" customHeight="1">
      <c r="B26" s="126">
        <v>3</v>
      </c>
      <c r="C26" s="161"/>
      <c r="D26" s="117">
        <f>IF(ISNUMBER(E18),IF(D18="dS/m",E18,IF(D18="µS/cm",E18/1000,IF(D18="grains/gallon",E18*0.02,"Wrong Unit Chosen"))),"")</f>
        <v>5.6</v>
      </c>
      <c r="E26" s="161">
        <f>(I26/(((J26+K26)/2)^0.5))</f>
        <v>25.663123811291285</v>
      </c>
      <c r="F26" s="161">
        <f>IF(ISNUMBER(AR18),AR18,"")</f>
        <v>7.5</v>
      </c>
      <c r="G26" s="161"/>
      <c r="H26" s="161"/>
      <c r="I26" s="184">
        <f>IF(ISNUMBER(L18),IF(OR($K18="mmolc/L",$K18="meq/L"),L18,IF(OR($K18="mg/L",$K18="ppm"),L18/23,"Wrong unit used")),"")</f>
        <v>47.39</v>
      </c>
      <c r="J26" s="184">
        <f>IF(ISNUMBER(M18),IF(OR($K18="mmolc/L",$K18="meq/L"),M18,IF(OR($K18="mg/L",$K18="ppm"),M18/20,"Wrong unit used")),"")</f>
        <v>3.3</v>
      </c>
      <c r="K26" s="184">
        <f>IF(ISNUMBER(N18),IF(OR($K18="mmolc/L",$K18="meq/L"),N18,IF(OR($K18="mg/L",$K18="ppm"),N18/12.2,"Wrong unit used")),"")</f>
        <v>3.52</v>
      </c>
      <c r="L26" s="184">
        <f>IF(ISNUMBER(O18),IF(OR($K18="mmolc/L",$K18="meq/L"),O18,IF(OR($K18="mg/L",$K18="ppm"),O18/39.1,"Wrong unit used")),"")</f>
        <v>0.1</v>
      </c>
      <c r="M26" s="184">
        <f>IF(ISNUMBER(P18),IF(OR($K18="mmolc/L",$K18="meq/L"),P18,IF(OR($K18="mg/L",$K18="ppm"),P18/35.5,"Wrong unit used")),"")</f>
        <v>40.85</v>
      </c>
      <c r="N26" s="184">
        <f>IF(ISNUMBER(Q18),IF(OR($K18="mmolc/L",$K18="meq/L"),Q18,IF(OR($K18="mg/L",$K18="ppm"),Q18/48,"Wrong unit used")),"")</f>
        <v>0.98</v>
      </c>
      <c r="O26" s="184">
        <f>IF(ISNUMBER(R18),IF(OR($K18="mmolc/L",$K18="meq/L"),R18,IF(OR($K18="mg/L",$K18="ppm"),R18/61,"Wrong unit used")),"")</f>
        <v>13.85</v>
      </c>
      <c r="P26" s="184">
        <f>IF(ISNUMBER(S18),IF(OR(K18="mmolc/L",K18="meq/L"),S18,IF(OR(K18="mg/L",K18="ppm"),S18/30,"Wrong unit used")),"")</f>
        <v>0</v>
      </c>
      <c r="Q26" s="161"/>
      <c r="R26" s="162">
        <f>(1.3477*(SUM(I26:K26))+0.5355)/1000</f>
        <v>7.3594316999999992E-2</v>
      </c>
      <c r="S26" s="161">
        <f>1/3*(4.6629+0.6103*LOG(R26)+0.0844*(LOG(R26)^2)+2*LOG(J26/(2*O26)))</f>
        <v>0.74392551350257019</v>
      </c>
      <c r="T26" s="161">
        <f>10^S26*0.17758</f>
        <v>0.98473543313637291</v>
      </c>
      <c r="U26" s="162">
        <f>I26/SQRT((T26+K26)/2)</f>
        <v>31.576723317281619</v>
      </c>
      <c r="V26" s="161"/>
      <c r="AC26" s="146"/>
      <c r="AF26" s="720">
        <f>IF(ISNUMBER(D24),D24,IF(AND(ISBLANK(D24),ISNUMBER(U16)),U16/640,IF(AND(ISBLANK(D24),AND(ISNUMBER(I24),ISNUMBER(J24),ISNUMBER(K24))),SUM(I24:K24)/10,"No Data")))</f>
        <v>1.107</v>
      </c>
      <c r="AG26" s="720">
        <f>IF(AND(I16&lt;=0,J16&lt;=0),"No Data",((0.03*I16)+(D24*J16))/(I16+J16))</f>
        <v>0.41354700854700854</v>
      </c>
      <c r="AH26" s="716">
        <f>IF(AND(ISNUMBER(AO26),$J16&gt;0),AO26,"")</f>
        <v>19</v>
      </c>
      <c r="AI26" s="720">
        <f>IF(F24&lt;0,0,F24)</f>
        <v>0</v>
      </c>
      <c r="AJ26" s="716">
        <f>IF(AND(ISNUMBER(AP26),$J16&gt;0),AP26,"")</f>
        <v>20.586009418626617</v>
      </c>
      <c r="AK26" s="716">
        <f t="shared" ref="AK26:AM29" si="2">IF(AND(ISNUMBER(AQ26),$J16&gt;0),AQ26,"")</f>
        <v>24.403675819467587</v>
      </c>
      <c r="AL26" s="716">
        <f t="shared" si="2"/>
        <v>21.113872125586717</v>
      </c>
      <c r="AM26" s="716">
        <f t="shared" si="2"/>
        <v>25.780467646127843</v>
      </c>
      <c r="AN26" s="716"/>
      <c r="AO26" s="720">
        <f>IF(AM16=1,IF(ISNUMBER(F16),F16,IF(AND(ISBLANK(F16),ISNUMBER(I24),ISNUMBER(J24),ISNUMBER(K24)),I24/(SQRT((J24+K24)/2)),IF(AND(ISBLANK(F16),ISBLANK(I24),ISNUMBER(J24),ISNUMBER(K24),ISNUMBER(AF26)),((AF26*10)-(J24+K24))/(SQRT((J24+K24)/2)),IF(AND(ISBLANK(F16),OR(ISBLANK(J24),ISBLANK(K24)),ISNUMBER(X16),ISNUMBER(AF26)),((AF26*10)-(X16 *0.02))/(SQRT((X16*0.02)/2)),"No Data")))),"No Data")</f>
        <v>19</v>
      </c>
      <c r="AP26" s="720">
        <f>IF(ISNUMBER(AJ35),IF(AK35&gt;0.5,AK35,IF(AK35&lt;0.5,0.5,"No Data")),"No Data")</f>
        <v>20.586009418626617</v>
      </c>
      <c r="AQ26" s="721">
        <f>IF(ISNUMBER(U24),U24,"")</f>
        <v>24.403675819467587</v>
      </c>
      <c r="AR26" s="720">
        <f>IF(ISNUMBER(AG35),IF(AG35&lt;0,"&lt;0.1",AG35),"No Data")</f>
        <v>21.113872125586717</v>
      </c>
      <c r="AS26" s="720">
        <f>IF(ISNUMBER(AE35),IF(AE35&lt;0,"&lt;0.1",AE35),"No Data")</f>
        <v>25.780467646127843</v>
      </c>
    </row>
    <row r="27" spans="2:46" ht="15" hidden="1" customHeight="1">
      <c r="B27" s="126">
        <v>4</v>
      </c>
      <c r="C27" s="161"/>
      <c r="D27" s="117">
        <f>IF(ISNUMBER(E19),IF(D19="dS/m",E19,IF(D19="µS/cm",E19/1000,IF(D19="grains/gallon",E19*0.02,"Wrong Unit Chosen"))),"")</f>
        <v>3.1</v>
      </c>
      <c r="E27" s="161">
        <f>(I27/(((J27+K27)/2)^0.5))</f>
        <v>2.0473183518335847</v>
      </c>
      <c r="F27" s="161">
        <f>IF(ISNUMBER(AR19),AR19,"")</f>
        <v>0</v>
      </c>
      <c r="G27" s="161"/>
      <c r="H27" s="161"/>
      <c r="I27" s="184">
        <f>IF(ISNUMBER(L19),IF(OR($K19="mmolc/L",$K19="meq/L"),L19,IF(OR($K19="mg/L",$K19="ppm"),L19/23,"Wrong unit used")),"")</f>
        <v>7.17</v>
      </c>
      <c r="J27" s="184">
        <f>IF(ISNUMBER(M19),IF(OR($K19="mmolc/L",$K19="meq/L"),M19,IF(OR($K19="mg/L",$K19="ppm"),M19/20,"Wrong unit used")),"")</f>
        <v>6.5</v>
      </c>
      <c r="K27" s="184">
        <f>IF(ISNUMBER(N19),IF(OR($K19="mmolc/L",$K19="meq/L"),N19,IF(OR($K19="mg/L",$K19="ppm"),N19/12.2,"Wrong unit used")),"")</f>
        <v>18.03</v>
      </c>
      <c r="L27" s="184">
        <f>IF(ISNUMBER(O19),IF(OR($K19="mmolc/L",$K19="meq/L"),O19,IF(OR($K19="mg/L",$K19="ppm"),O19/39.1,"Wrong unit used")),"")</f>
        <v>0.1</v>
      </c>
      <c r="M27" s="184">
        <f>IF(ISNUMBER(P19),IF(OR($K19="mmolc/L",$K19="meq/L"),P19,IF(OR($K19="mg/L",$K19="ppm"),P19/35.5,"Wrong unit used")),"")</f>
        <v>23.66</v>
      </c>
      <c r="N27" s="184">
        <f>IF(ISNUMBER(Q19),IF(OR($K19="mmolc/L",$K19="meq/L"),Q19,IF(OR($K19="mg/L",$K19="ppm"),Q19/48,"Wrong unit used")),"")</f>
        <v>0.05</v>
      </c>
      <c r="O27" s="184">
        <f>IF(ISNUMBER(R19),IF(OR($K19="mmolc/L",$K19="meq/L"),R19,IF(OR($K19="mg/L",$K19="ppm"),R19/61,"Wrong unit used")),"")</f>
        <v>7.05</v>
      </c>
      <c r="P27" s="184">
        <f>IF(ISNUMBER(S19),IF(OR(K19="mmolc/L",K19="meq/L"),S19,IF(OR(K19="mg/L",K19="ppm"),S19/30,"Wrong unit used")),"")</f>
        <v>0</v>
      </c>
      <c r="Q27" s="161"/>
      <c r="R27" s="162">
        <f>(1.3477*(SUM(I27:K27))+0.5355)/1000</f>
        <v>4.3257589999999999E-2</v>
      </c>
      <c r="S27" s="161">
        <f>1/3*(4.6629+0.6103*LOG(R27)+0.0844*(LOG(R27)^2)+2*LOG(J27/(2*O27)))</f>
        <v>1.104962945284653</v>
      </c>
      <c r="T27" s="161">
        <f>10^S27*0.17758</f>
        <v>2.2612938257514497</v>
      </c>
      <c r="U27" s="162">
        <f>I27/SQRT((T27+K27)/2)</f>
        <v>2.2510196371999172</v>
      </c>
      <c r="V27" s="161"/>
      <c r="AC27" s="146"/>
      <c r="AF27" s="720">
        <f>IF(ISNUMBER(D25),D25,IF(AND(ISBLANK(D25),ISNUMBER(U17)),U17/640,IF(AND(ISBLANK(D25),AND(ISNUMBER(I25),ISNUMBER(J25),ISNUMBER(K25))),SUM(I25:K25)/10,"No Data")))</f>
        <v>1.35</v>
      </c>
      <c r="AG27" s="720">
        <f>IF(AND(I17&lt;=0,J17&lt;=0),"No Data",((0.03*I17)+(D25*J17))/(I17+J17))</f>
        <v>0.69</v>
      </c>
      <c r="AH27" s="716">
        <f>IF(AND(ISNUMBER(AO27),$J17&gt;0),AO27,"")</f>
        <v>6.5</v>
      </c>
      <c r="AI27" s="720">
        <f>IF(F25&lt;0,0,F25)</f>
        <v>2.31</v>
      </c>
      <c r="AJ27" s="716">
        <f>IF(AND(ISNUMBER(AP27),$J17&gt;0),AP27,"")</f>
        <v>12.330414852501217</v>
      </c>
      <c r="AK27" s="716">
        <f t="shared" si="2"/>
        <v>7.3363213584430929</v>
      </c>
      <c r="AL27" s="716">
        <f t="shared" si="2"/>
        <v>7.6873370104544083</v>
      </c>
      <c r="AM27" s="716">
        <f t="shared" si="2"/>
        <v>8.7267070815501153</v>
      </c>
      <c r="AN27" s="716"/>
      <c r="AO27" s="720">
        <f>IF(AM17=1,IF(ISNUMBER(F17),F17,IF(AND(ISBLANK(F17),ISNUMBER(I25),ISNUMBER(J25),ISNUMBER(K25)),I25/(SQRT((J25+K25)/2)),IF(AND(ISBLANK(F17),ISBLANK(I25),ISNUMBER(J25),ISNUMBER(K25),ISNUMBER(AF27)),((AF27*10)-(J25+K25))/(SQRT((J25+K25)/2)),IF(AND(ISBLANK(F17),OR(ISBLANK(J25),ISBLANK(K25)),ISNUMBER(X17),ISNUMBER(AF27)),((AF27*10)-(X17 *0.02))/(SQRT((X17*0.02)/2)),"No Data")))),"No Data")</f>
        <v>6.5</v>
      </c>
      <c r="AP27" s="720">
        <f>IF(ISNUMBER(AJ36),IF(AK36&gt;0.5,AK36,IF(AK36&lt;0.5,0.5,"No Data")),"No Data")</f>
        <v>12.330414852501217</v>
      </c>
      <c r="AQ27" s="721">
        <f>IF(ISNUMBER(U25),U25,"")</f>
        <v>7.3363213584430929</v>
      </c>
      <c r="AR27" s="720">
        <f>IF(ISNUMBER(AG36),IF(AG36&lt;0,"&lt;0.1",AG36),"No Data")</f>
        <v>7.6873370104544083</v>
      </c>
      <c r="AS27" s="720">
        <f>IF(ISNUMBER(AE36),IF(AE36&lt;0,"&lt;0.1",AE36),"No Data")</f>
        <v>8.7267070815501153</v>
      </c>
    </row>
    <row r="28" spans="2:46" ht="15.75" hidden="1" customHeight="1">
      <c r="B28" s="126">
        <v>5</v>
      </c>
      <c r="C28" s="161"/>
      <c r="D28" s="117">
        <f>IF(ISNUMBER(E20),IF(D20="dS/m",E20,IF(D20="µS/cm",E20/1000,IF(D20="grains/gallon",E20*0.02,"Wrong Unit Chosen"))),"")</f>
        <v>0.03</v>
      </c>
      <c r="E28" s="161">
        <f>(I28/(((J28+K28)/2)^0.5))</f>
        <v>0.51961524227066314</v>
      </c>
      <c r="F28" s="161">
        <f>IF(ISNUMBER(AR20),AR20,"")</f>
        <v>0</v>
      </c>
      <c r="G28" s="161"/>
      <c r="H28" s="161"/>
      <c r="I28" s="184">
        <f>IF(ISNUMBER(L20),IF(OR($K20="mmolc/L",$K20="meq/L"),L20,IF(OR($K20="mg/L",$K20="ppm"),L20/23,"Wrong unit used")),"")</f>
        <v>0.09</v>
      </c>
      <c r="J28" s="722">
        <f>IF(ISNUMBER(M20),IF(OR($K20="mmolc/L",$K20="meq/L"),M20,IF(OR($K20="mg/L",$K20="ppm"),M20/20,"Wrong unit used")),"")</f>
        <v>0.04</v>
      </c>
      <c r="K28" s="722">
        <f>IF(ISNUMBER(N20),IF(OR($K20="mmolc/L",$K20="meq/L"),N20,IF(OR($K20="mg/L",$K20="ppm"),N20/12.2,"Wrong unit used")),"")</f>
        <v>0.02</v>
      </c>
      <c r="L28" s="184">
        <f>IF(ISNUMBER(O20),IF(OR($K20="mmolc/L",$K20="meq/L"),O20,IF(OR($K20="mg/L",$K20="ppm"),O20/39.1,"Wrong unit used")),"")</f>
        <v>0</v>
      </c>
      <c r="M28" s="184">
        <f>IF(ISNUMBER(P20),IF(OR($K20="mmolc/L",$K20="meq/L"),P20,IF(OR($K20="mg/L",$K20="ppm"),P20/35.5,"Wrong unit used")),"")</f>
        <v>0.1</v>
      </c>
      <c r="N28" s="184">
        <f>IF(ISNUMBER(Q20),IF(OR($K20="mmolc/L",$K20="meq/L"),Q20,IF(OR($K20="mg/L",$K20="ppm"),Q20/48,"Wrong unit used")),"")</f>
        <v>0.06</v>
      </c>
      <c r="O28" s="184">
        <f>IF(ISNUMBER(R20),IF(OR($K20="mmolc/L",$K20="meq/L"),R20,IF(OR($K20="mg/L",$K20="ppm"),R20/61,"Wrong unit used")),"")</f>
        <v>0.01</v>
      </c>
      <c r="P28" s="184">
        <f>IF(ISNUMBER(S20),IF(OR(K20="mmolc/L",K20="meq/L"),S20,IF(OR(K20="mg/L",K20="ppm"),S20/30,"Wrong unit used")),"")</f>
        <v>0</v>
      </c>
      <c r="Q28" s="161"/>
      <c r="R28" s="162">
        <f>(1.3477*(SUM(I28:K28))+0.5355)/1000</f>
        <v>7.3765499999999993E-4</v>
      </c>
      <c r="S28" s="161">
        <f>1/3*(4.6629+0.6103*LOG(R28)+0.0844*(LOG(R28)^2)+2*LOG(J28/(2*O28)))</f>
        <v>1.3938012681835823</v>
      </c>
      <c r="T28" s="161">
        <f>10^S28*0.17758</f>
        <v>4.3973933958138929</v>
      </c>
      <c r="U28" s="162">
        <f>I28/SQRT((T28+K28)/2)</f>
        <v>6.0558410632291178E-2</v>
      </c>
      <c r="V28" s="161"/>
      <c r="AC28" s="146"/>
      <c r="AF28" s="720">
        <f>IF(ISNUMBER(D26),D26,IF(AND(ISBLANK(D26),ISNUMBER(U18)),U18/640,IF(AND(ISBLANK(D26),AND(ISNUMBER(I26),ISNUMBER(J26),ISNUMBER(K26))),SUM(I26:K26)/10,"No Data")))</f>
        <v>5.6</v>
      </c>
      <c r="AG28" s="720">
        <f>IF(AND(I18&lt;=0,J18&lt;=0),"No Data",((0.03*I18)+(D26*J18))/(I18+J18))</f>
        <v>2.0136182336182333</v>
      </c>
      <c r="AH28" s="716">
        <f>IF(AND(ISNUMBER(AO28),$J18&gt;0),AO28,"")</f>
        <v>26</v>
      </c>
      <c r="AI28" s="720">
        <f>IF(F26&lt;0,0,F26)</f>
        <v>7.5</v>
      </c>
      <c r="AJ28" s="716">
        <f>IF(AND(ISNUMBER(AP28),$J18&gt;0),AP28,"")</f>
        <v>50.517909740461889</v>
      </c>
      <c r="AK28" s="716">
        <f t="shared" si="2"/>
        <v>31.576723317281619</v>
      </c>
      <c r="AL28" s="716">
        <f t="shared" si="2"/>
        <v>27.055219199066304</v>
      </c>
      <c r="AM28" s="716">
        <f t="shared" si="2"/>
        <v>31.184295445831442</v>
      </c>
      <c r="AN28" s="716"/>
      <c r="AO28" s="720">
        <f>IF(AM18=1,IF(ISNUMBER(F18),F18,IF(AND(ISBLANK(F18),ISNUMBER(I26),ISNUMBER(J26),ISNUMBER(K26)),I26/(SQRT((J26+K26)/2)),IF(AND(ISBLANK(F18),ISBLANK(I26),ISNUMBER(J26),ISNUMBER(K26),ISNUMBER(AF28)),((AF28*10)-(J26+K26))/(SQRT((J26+K26)/2)),IF(AND(ISBLANK(F18),OR(ISBLANK(J26),ISBLANK(K26)),ISNUMBER(X18),ISNUMBER(AF28)),((AF28*10)-(X18 *0.02))/(SQRT((X18*0.02)/2)),"No Data")))),"No Data")</f>
        <v>26</v>
      </c>
      <c r="AP28" s="720">
        <f>IF(ISNUMBER(AJ37),IF(AK37&gt;0.5,AK37,IF(AK37&lt;0.5,0.5,"No Data")),"No Data")</f>
        <v>50.517909740461889</v>
      </c>
      <c r="AQ28" s="721">
        <f>IF(ISNUMBER(U26),U26,"")</f>
        <v>31.576723317281619</v>
      </c>
      <c r="AR28" s="720">
        <f>IF(ISNUMBER(AG37),IF(AG37&lt;0,"&lt;0.1",AG37),"No Data")</f>
        <v>27.055219199066304</v>
      </c>
      <c r="AS28" s="720">
        <f>IF(ISNUMBER(AE37),IF(AE37&lt;0,"&lt;0.1",AE37),"No Data")</f>
        <v>31.184295445831442</v>
      </c>
    </row>
    <row r="29" spans="2:46" ht="18.5">
      <c r="B29" s="1014" t="s">
        <v>906</v>
      </c>
      <c r="C29" s="1015"/>
      <c r="D29" s="1015"/>
      <c r="E29" s="161"/>
      <c r="F29" s="161"/>
      <c r="G29" s="161"/>
      <c r="H29" s="161"/>
      <c r="I29" s="161"/>
      <c r="J29" s="161"/>
      <c r="K29" s="161"/>
      <c r="L29" s="161"/>
      <c r="M29" s="161"/>
      <c r="N29" s="161"/>
      <c r="O29" s="161"/>
      <c r="P29" s="161"/>
      <c r="Q29" s="161"/>
      <c r="S29" s="161"/>
      <c r="T29" s="161"/>
      <c r="V29" s="161"/>
      <c r="AC29" s="146"/>
      <c r="AF29" s="720">
        <f>IF(ISNUMBER(D27),D27,IF(AND(ISBLANK(D27),ISNUMBER(U19)),U19/640,IF(AND(ISBLANK(D27),AND(ISNUMBER(I27),ISNUMBER(J27),ISNUMBER(K27))),SUM(I27:K27)/10,"No Data")))</f>
        <v>3.1</v>
      </c>
      <c r="AG29" s="720">
        <f>IF(AND(I19&lt;=0,J19&lt;=0),"No Data",((0.03*I19)+(D27*J19))/(I19+J19))</f>
        <v>1.1352</v>
      </c>
      <c r="AH29" s="716">
        <f>IF(AND(ISNUMBER(AO29),$J19&gt;0),AO29,"")</f>
        <v>2</v>
      </c>
      <c r="AI29" s="720">
        <f>IF(F27&lt;0,0,F27)</f>
        <v>0</v>
      </c>
      <c r="AJ29" s="716">
        <f>IF(AND(ISNUMBER(AP29),$J19&gt;0),AP29,"")</f>
        <v>2.5742947058089105</v>
      </c>
      <c r="AK29" s="716">
        <f t="shared" si="2"/>
        <v>2.2510196371999172</v>
      </c>
      <c r="AL29" s="716">
        <f t="shared" si="2"/>
        <v>1.6619136591601928</v>
      </c>
      <c r="AM29" s="716">
        <f t="shared" si="2"/>
        <v>2.018664352509878</v>
      </c>
      <c r="AN29" s="716"/>
      <c r="AO29" s="720">
        <f>IF(AM19=1,IF(ISNUMBER(F19),F19,IF(AND(ISBLANK(F19),ISNUMBER(I27),ISNUMBER(J27),ISNUMBER(K27)),I27/(SQRT((J27+K27)/2)),IF(AND(ISBLANK(F19),ISBLANK(I27),ISNUMBER(J27),ISNUMBER(K27),ISNUMBER(AF29)),((AF29*10)-(J27+K27))/(SQRT((J27+K27)/2)),IF(AND(ISBLANK(F19),OR(ISBLANK(J27),ISBLANK(K27)),ISNUMBER(X19),ISNUMBER(AF29)),((AF29*10)-(X19 *0.02))/(SQRT((X19*0.02)/2)),"No Data")))),"No Data")</f>
        <v>2</v>
      </c>
      <c r="AP29" s="720">
        <f>IF(ISNUMBER(AJ38),IF(AK38&gt;0.5,AK38,IF(AK38&lt;0.5,0.5,"No Data")),"No Data")</f>
        <v>2.5742947058089105</v>
      </c>
      <c r="AQ29" s="721">
        <f>IF(ISNUMBER(U27),U27,"")</f>
        <v>2.2510196371999172</v>
      </c>
      <c r="AR29" s="720">
        <f>IF(ISNUMBER(AG38),IF(AG38&lt;0,"&lt;0.1",AG38),"No Data")</f>
        <v>1.6619136591601928</v>
      </c>
      <c r="AS29" s="720">
        <f>IF(ISNUMBER(AE38),IF(AE38&lt;0,"&lt;0.1",AE38),"No Data")</f>
        <v>2.018664352509878</v>
      </c>
    </row>
    <row r="30" spans="2:46" ht="47.25" customHeight="1" thickBot="1">
      <c r="B30" s="1016" t="s">
        <v>1426</v>
      </c>
      <c r="C30" s="1017"/>
      <c r="D30" s="1017"/>
      <c r="E30" s="1017"/>
      <c r="F30" s="1017"/>
      <c r="G30" s="1017"/>
      <c r="H30" s="1017"/>
      <c r="I30" s="1017"/>
      <c r="J30" s="1017"/>
      <c r="K30" s="1017"/>
      <c r="L30" s="1017"/>
      <c r="M30" s="1017"/>
      <c r="N30" s="1017"/>
      <c r="O30" s="1017"/>
      <c r="P30" s="1017"/>
      <c r="Q30" s="1017"/>
      <c r="R30" s="1017"/>
      <c r="S30" s="1017"/>
      <c r="T30" s="1017"/>
      <c r="U30" s="1017"/>
      <c r="V30" s="161"/>
      <c r="AC30" s="146"/>
      <c r="AF30" s="720">
        <f>IF(ISNUMBER(D28),D28,IF(AND(ISBLANK(D28),ISNUMBER(U20)),U20/640,IF(AND(ISBLANK(D28),AND(ISNUMBER(I28),ISNUMBER(J28),ISNUMBER(K28))),SUM(I28:K28)/10,"No Data")))</f>
        <v>0.03</v>
      </c>
      <c r="AG30" s="720">
        <f>IF(AND(I20&lt;=0,J20&lt;=0),"No Data",((0.03*I20)+(D28*J20))/(I20+J20))</f>
        <v>3.0000000000000002E-2</v>
      </c>
      <c r="AH30" s="716">
        <f>IF(ISNUMBER(AO30),AO30,"")</f>
        <v>0.52</v>
      </c>
      <c r="AI30" s="720">
        <f>IF(F28&lt;0,0,F28)</f>
        <v>0</v>
      </c>
      <c r="AJ30" s="716">
        <f>IF(ISNUMBER(AP30),AP30,"")</f>
        <v>0.56920997883030822</v>
      </c>
      <c r="AK30" s="716">
        <f>IF(ISNUMBER(AQ30),AQ30,"")</f>
        <v>6.0558410632291178E-2</v>
      </c>
      <c r="AL30" s="716" t="str">
        <f>IF(AR30="&lt;0.1",AR30,IF(ISNUMBER(AR30),AR30,""))</f>
        <v>&lt;0.1</v>
      </c>
      <c r="AM30" s="716" t="str">
        <f>IF(AS30="&lt;0.1",AS30,IF(ISNUMBER(AS30),AS30,""))</f>
        <v>&lt;0.1</v>
      </c>
      <c r="AN30" s="716"/>
      <c r="AO30" s="720">
        <f>IF(AM20=1,IF(ISNUMBER(F20),F20,IF(AND(ISBLANK(F20),ISNUMBER(I28),ISNUMBER(J28),ISNUMBER(K28)),I28/(SQRT((J28+K28)/2)),IF(AND(ISBLANK(F20),ISBLANK(I28),ISNUMBER(J28),ISNUMBER(K28),ISNUMBER(AF30)),((AF30*10)-(J28+K28))/(SQRT((J28+K28)/2)),IF(AND(ISBLANK(F20),OR(ISBLANK(J28),ISBLANK(K28)),ISNUMBER(X20),ISNUMBER(AF30)),((AF30*10)-(X20 *0.02))/(SQRT((X20*0.02)/2)),"No Data")))),"No Data")</f>
        <v>0.52</v>
      </c>
      <c r="AP30" s="720">
        <f>IF(ISNUMBER(AJ39),IF(AK39&gt;0.5,AK39,IF(AK39&lt;0.5,0.5,"No Data")),"No Data")</f>
        <v>0.56920997883030822</v>
      </c>
      <c r="AQ30" s="721">
        <f>IF(ISNUMBER(U28),U28,"")</f>
        <v>6.0558410632291178E-2</v>
      </c>
      <c r="AR30" s="720" t="str">
        <f>IF(ISNUMBER(AG39),IF(AG39&lt;0,"&lt;0.1",AG39),"No Data")</f>
        <v>&lt;0.1</v>
      </c>
      <c r="AS30" s="720" t="str">
        <f>IF(ISNUMBER(AE39),IF(AE39&lt;0,"&lt;0.1",AE39),"No Data")</f>
        <v>&lt;0.1</v>
      </c>
    </row>
    <row r="31" spans="2:46" ht="33.75" customHeight="1" thickBot="1">
      <c r="B31" s="1018" t="s">
        <v>1415</v>
      </c>
      <c r="C31" s="1019"/>
      <c r="D31" s="1019"/>
      <c r="E31" s="1019"/>
      <c r="F31" s="1019"/>
      <c r="G31" s="1019"/>
      <c r="H31" s="1019"/>
      <c r="I31" s="1019"/>
      <c r="J31" s="1019"/>
      <c r="K31" s="1019"/>
      <c r="L31" s="1019"/>
      <c r="M31" s="1019"/>
      <c r="N31" s="1019"/>
      <c r="O31" s="161"/>
      <c r="P31" s="161"/>
      <c r="Q31" s="161"/>
      <c r="R31" s="161"/>
      <c r="S31" s="1012" t="s">
        <v>747</v>
      </c>
      <c r="T31" s="1013"/>
      <c r="U31" s="161"/>
      <c r="V31" s="161"/>
      <c r="W31" s="209"/>
      <c r="X31" s="161"/>
      <c r="Y31" s="161"/>
      <c r="Z31" s="161"/>
      <c r="AA31" s="161"/>
      <c r="AB31" s="161"/>
      <c r="AC31" s="168"/>
      <c r="AN31" s="34"/>
      <c r="AO31" s="34"/>
      <c r="AP31" s="49"/>
      <c r="AQ31" s="49"/>
      <c r="AR31" s="49"/>
      <c r="AS31" s="49"/>
    </row>
    <row r="32" spans="2:46" ht="19" thickBot="1">
      <c r="B32" s="229"/>
      <c r="C32" s="246"/>
      <c r="D32" s="1022" t="s">
        <v>487</v>
      </c>
      <c r="E32" s="1023"/>
      <c r="F32" s="1023"/>
      <c r="G32" s="1023"/>
      <c r="H32" s="1023"/>
      <c r="I32" s="1023"/>
      <c r="J32" s="1023"/>
      <c r="K32" s="1024"/>
      <c r="L32" s="1052" t="s">
        <v>603</v>
      </c>
      <c r="M32" s="1052"/>
      <c r="N32" s="1052"/>
      <c r="O32" s="216"/>
      <c r="P32" s="1008" t="s">
        <v>583</v>
      </c>
      <c r="Q32" s="1009"/>
      <c r="R32" s="1010" t="s">
        <v>126</v>
      </c>
      <c r="S32" s="1011"/>
      <c r="T32" s="1008" t="s">
        <v>584</v>
      </c>
      <c r="U32" s="1009"/>
      <c r="V32" s="209"/>
      <c r="W32" s="161"/>
      <c r="X32" s="177"/>
      <c r="Y32" s="177"/>
      <c r="Z32" s="163"/>
      <c r="AA32" s="163"/>
      <c r="AB32" s="163"/>
      <c r="AC32" s="173"/>
      <c r="AN32" s="34"/>
      <c r="AO32" s="34"/>
      <c r="AP32" s="49"/>
      <c r="AQ32" s="49"/>
      <c r="AR32" s="49"/>
      <c r="AS32" s="49"/>
      <c r="AT32" s="49"/>
    </row>
    <row r="33" spans="2:46" ht="30" customHeight="1">
      <c r="B33" s="135" t="s">
        <v>71</v>
      </c>
      <c r="C33" s="136" t="s">
        <v>123</v>
      </c>
      <c r="D33" s="245" t="s">
        <v>1506</v>
      </c>
      <c r="E33" s="245" t="s">
        <v>579</v>
      </c>
      <c r="F33" s="245" t="s">
        <v>59</v>
      </c>
      <c r="G33" s="245" t="s">
        <v>60</v>
      </c>
      <c r="H33" s="1036" t="s">
        <v>605</v>
      </c>
      <c r="I33" s="1036"/>
      <c r="J33" s="1037" t="s">
        <v>756</v>
      </c>
      <c r="K33" s="1053" t="s">
        <v>757</v>
      </c>
      <c r="L33" s="1035" t="s">
        <v>604</v>
      </c>
      <c r="M33" s="1030" t="s">
        <v>129</v>
      </c>
      <c r="N33" s="1030"/>
      <c r="O33" s="177"/>
      <c r="P33" s="210" t="s">
        <v>1505</v>
      </c>
      <c r="Q33" s="213" t="s">
        <v>127</v>
      </c>
      <c r="R33" s="211" t="s">
        <v>1505</v>
      </c>
      <c r="S33" s="212" t="s">
        <v>127</v>
      </c>
      <c r="T33" s="210" t="s">
        <v>1505</v>
      </c>
      <c r="U33" s="213" t="s">
        <v>127</v>
      </c>
      <c r="V33" s="1027" t="s">
        <v>128</v>
      </c>
      <c r="W33" s="1028"/>
      <c r="X33" s="1028" t="s">
        <v>129</v>
      </c>
      <c r="Y33" s="1028"/>
      <c r="Z33" s="1055"/>
      <c r="AA33" s="163"/>
      <c r="AB33" s="163"/>
      <c r="AC33" s="146"/>
      <c r="AE33" s="162"/>
      <c r="AF33" s="162"/>
      <c r="AG33" s="162" t="s">
        <v>534</v>
      </c>
      <c r="AH33" s="162" t="s">
        <v>557</v>
      </c>
      <c r="AI33" s="162" t="s">
        <v>556</v>
      </c>
      <c r="AJ33" s="49"/>
      <c r="AK33" s="49"/>
      <c r="AL33" s="49"/>
      <c r="AN33" s="34"/>
      <c r="AT33" s="49"/>
    </row>
    <row r="34" spans="2:46">
      <c r="B34" s="127"/>
      <c r="C34" s="116"/>
      <c r="D34" s="224" t="str">
        <f>D16</f>
        <v>dS/m</v>
      </c>
      <c r="E34" s="224" t="str">
        <f>D34</f>
        <v>dS/m</v>
      </c>
      <c r="F34" s="224"/>
      <c r="G34" s="224" t="str">
        <f>G16</f>
        <v>mmolc/L</v>
      </c>
      <c r="H34" s="1036"/>
      <c r="I34" s="1036"/>
      <c r="J34" s="1038"/>
      <c r="K34" s="1053"/>
      <c r="L34" s="1035"/>
      <c r="M34" s="1030"/>
      <c r="N34" s="1030"/>
      <c r="O34" s="177"/>
      <c r="P34" s="247" t="s">
        <v>453</v>
      </c>
      <c r="Q34" s="195" t="s">
        <v>472</v>
      </c>
      <c r="R34" s="141" t="s">
        <v>131</v>
      </c>
      <c r="S34" s="142" t="s">
        <v>130</v>
      </c>
      <c r="T34" s="247" t="s">
        <v>459</v>
      </c>
      <c r="U34" s="195">
        <v>250</v>
      </c>
      <c r="V34" s="1029" t="s">
        <v>439</v>
      </c>
      <c r="W34" s="1025"/>
      <c r="X34" s="1025" t="s">
        <v>445</v>
      </c>
      <c r="Y34" s="1025"/>
      <c r="Z34" s="1026"/>
      <c r="AA34" s="163"/>
      <c r="AB34" s="163"/>
      <c r="AC34" s="146"/>
      <c r="AE34" s="162" t="s">
        <v>602</v>
      </c>
      <c r="AF34" s="162"/>
      <c r="AG34" s="162"/>
      <c r="AH34" s="162"/>
      <c r="AI34" s="162"/>
      <c r="AJ34" s="34"/>
      <c r="AK34" s="49"/>
      <c r="AL34" s="49" t="s">
        <v>438</v>
      </c>
      <c r="AN34" s="34"/>
      <c r="AT34" s="49"/>
    </row>
    <row r="35" spans="2:46">
      <c r="B35" s="127">
        <v>1</v>
      </c>
      <c r="C35" s="134" t="str">
        <f>IF(OR(ISTEXT(C16),ISNUMBER(C16)),C16,"")</f>
        <v>Yelarbon bore</v>
      </c>
      <c r="D35" s="179">
        <f>IF(OR(ISNUMBER(AF26),AND(AF26="No Data",OR(ISTEXT(C16),ISNUMBER(C16)))),AF26,"")</f>
        <v>1.107</v>
      </c>
      <c r="E35" s="179">
        <f t="shared" ref="E35:F39" si="3">IF(OR(ISNUMBER(AG26),AND(AG26="No Data",OR(ISTEXT(E16),ISNUMBER(E16)))),AG26,"")</f>
        <v>0.41354700854700854</v>
      </c>
      <c r="F35" s="179">
        <f t="shared" si="3"/>
        <v>19</v>
      </c>
      <c r="G35" s="179">
        <f>IF(OR(ISNUMBER(AI26),AND(AI26="No Data",OR(ISTEXT(H16),ISNUMBER(H16)))),AI26,"")</f>
        <v>0</v>
      </c>
      <c r="H35" s="1050">
        <f>IF(OR(ISNUMBER(AK26),AND(AK26="No Data",OR(ISTEXT(J16),ISNUMBER(J16)))),AK26,"")</f>
        <v>24.403675819467587</v>
      </c>
      <c r="I35" s="1051"/>
      <c r="J35" s="179">
        <f>IF(OR(ISNUMBER(AL26),AND(OR(AL26="No Data",AL26="&lt;0.1"),OR(ISTEXT(M16),ISNUMBER(M16)))),AL26,"")</f>
        <v>21.113872125586717</v>
      </c>
      <c r="K35" s="179">
        <f>IF(OR(ISNUMBER(AM26),AM26="&lt;0.1"),AM26,"")</f>
        <v>25.780467646127843</v>
      </c>
      <c r="L35" s="244" t="str">
        <f>IF(ISNUMBER(AL35),VLOOKUP(AL35,'Reference Lists&amp;Tables'!$A$13:$K$19,11,FALSE),"")</f>
        <v>Low</v>
      </c>
      <c r="M35" s="1025" t="str">
        <f>IF(ISNUMBER(AL35),VLOOKUP(AL35,'Reference Lists&amp;Tables'!$A$14:$L$19,12,FALSE),"")</f>
        <v>Moderately sensitive</v>
      </c>
      <c r="N35" s="1025"/>
      <c r="O35" s="104"/>
      <c r="P35" s="247" t="s">
        <v>454</v>
      </c>
      <c r="Q35" s="195">
        <v>250</v>
      </c>
      <c r="R35" s="141" t="s">
        <v>132</v>
      </c>
      <c r="S35" s="142">
        <v>440</v>
      </c>
      <c r="T35" s="247" t="s">
        <v>460</v>
      </c>
      <c r="U35" s="195">
        <v>500</v>
      </c>
      <c r="V35" s="1029" t="s">
        <v>440</v>
      </c>
      <c r="W35" s="1025"/>
      <c r="X35" s="1025" t="s">
        <v>446</v>
      </c>
      <c r="Y35" s="1025"/>
      <c r="Z35" s="1026"/>
      <c r="AA35" s="163"/>
      <c r="AB35" s="163"/>
      <c r="AC35" s="146"/>
      <c r="AE35" s="217">
        <f>(100*(-0.0126+0.01475*$AK26))/(1+(-0.0126+0.01475*$AK26))</f>
        <v>25.780467646127843</v>
      </c>
      <c r="AF35" s="217"/>
      <c r="AG35" s="217">
        <f>(100*(-0.0126+0.01475*$AH26))/(1+(-0.0126+0.01475*$AH26))</f>
        <v>21.113872125586717</v>
      </c>
      <c r="AH35" s="162" t="b">
        <f>AND(ISNUMBER(L16),ISNUMBER(M16),ISNUMBER(N16),ISNUMBER(AI26))</f>
        <v>1</v>
      </c>
      <c r="AI35" s="217">
        <f>J24-AI26</f>
        <v>0.85</v>
      </c>
      <c r="AJ35" s="49">
        <f>IF(AH35,IF(AI35&gt;0,AI35,IF(AI35&lt;0,0,"No Data")),"No Data")</f>
        <v>0.85</v>
      </c>
      <c r="AK35" s="49">
        <f>(I24/(SQRT((AJ35+0.5*K24)/2)))</f>
        <v>20.586009418626617</v>
      </c>
      <c r="AL35" s="49">
        <f>IF(ISNUMBER(AF26),IF(AND(AF26&gt;=0,AF26&lt;0.65),1,IF(AND(AF26&gt;=0.65,AF26&lt;1.3),2,IF(AND(AF26&gt;=1.3,AF26&lt;2.9),3,IF(AND(AF26&gt;=2.9,AF26&lt;5.2),4,IF(AND(AF26&gt;=5.2,AF26&lt;8.1),5,IF(AF26&gt;=8.1,6,"FALSE")))))))</f>
        <v>2</v>
      </c>
      <c r="AN35" s="34"/>
      <c r="AT35" s="49"/>
    </row>
    <row r="36" spans="2:46">
      <c r="B36" s="128">
        <v>2</v>
      </c>
      <c r="C36" s="134" t="str">
        <f>IF(OR(ISTEXT(C17),ISNUMBER(C17)),C17,"")</f>
        <v>Burd 12001253  11/93</v>
      </c>
      <c r="D36" s="179">
        <f>IF(OR(ISNUMBER(AF27),AND(AF27="No Data",OR(ISTEXT(C17),ISNUMBER(C17)))),AF27,"")</f>
        <v>1.35</v>
      </c>
      <c r="E36" s="179">
        <f t="shared" si="3"/>
        <v>0.69</v>
      </c>
      <c r="F36" s="179">
        <f t="shared" si="3"/>
        <v>6.5</v>
      </c>
      <c r="G36" s="179">
        <f t="shared" ref="G36:G39" si="4">IF(OR(ISNUMBER(AI27),AND(AI27="No Data",OR(ISTEXT(H17),ISNUMBER(H17)))),AI27,"")</f>
        <v>2.31</v>
      </c>
      <c r="H36" s="1050">
        <f>IF(ISNUMBER(AK27),AK27,"")</f>
        <v>7.3363213584430929</v>
      </c>
      <c r="I36" s="1051" t="str">
        <f>IF(ISNUMBER(#REF!),#REF!,"")</f>
        <v/>
      </c>
      <c r="J36" s="179">
        <f>IF(OR(ISNUMBER(AL27),AL27="&lt;0.1"),AL27,"")</f>
        <v>7.6873370104544083</v>
      </c>
      <c r="K36" s="179">
        <f>IF(OR(ISNUMBER(AM27),AM27="&lt;0.1"),AM27,"")</f>
        <v>8.7267070815501153</v>
      </c>
      <c r="L36" s="244" t="str">
        <f>IF(ISNUMBER(AL36),VLOOKUP(AL36,'Reference Lists&amp;Tables'!$A$13:$K$19,11,FALSE),"")</f>
        <v>Medium</v>
      </c>
      <c r="M36" s="1025" t="str">
        <f>IF(ISNUMBER(AL36),VLOOKUP(AL36,'Reference Lists&amp;Tables'!$A$14:$L$19,12,FALSE),"")</f>
        <v>Moderately tolerant</v>
      </c>
      <c r="N36" s="1025"/>
      <c r="O36" s="104"/>
      <c r="P36" s="247" t="s">
        <v>455</v>
      </c>
      <c r="Q36" s="195">
        <v>650</v>
      </c>
      <c r="R36" s="141" t="s">
        <v>134</v>
      </c>
      <c r="S36" s="142">
        <v>800</v>
      </c>
      <c r="T36" s="247" t="s">
        <v>461</v>
      </c>
      <c r="U36" s="195">
        <v>1000</v>
      </c>
      <c r="V36" s="1029" t="s">
        <v>441</v>
      </c>
      <c r="W36" s="1025"/>
      <c r="X36" s="1025" t="s">
        <v>447</v>
      </c>
      <c r="Y36" s="1025"/>
      <c r="Z36" s="1026"/>
      <c r="AA36" s="163"/>
      <c r="AB36" s="163"/>
      <c r="AC36" s="146"/>
      <c r="AE36" s="217">
        <f>(100*(-0.0126+0.01475*$AK27))/(1+(-0.0126+0.01475*$AK27))</f>
        <v>8.7267070815501153</v>
      </c>
      <c r="AF36" s="217"/>
      <c r="AG36" s="217">
        <f>(100*(-0.0126+0.01475*$AH27))/(1+(-0.0126+0.01475*$AH27))</f>
        <v>7.6873370104544083</v>
      </c>
      <c r="AH36" s="162" t="b">
        <f>AND(ISNUMBER(L17),ISNUMBER(M17),ISNUMBER(N17),ISNUMBER(AI27))</f>
        <v>1</v>
      </c>
      <c r="AI36" s="217">
        <f>J25-AI27</f>
        <v>-0.48</v>
      </c>
      <c r="AJ36" s="49">
        <f>IF(AH36,IF(AI36&gt;0,AI36,IF(AI36&lt;0,0,"No Data")),"No Data")</f>
        <v>0</v>
      </c>
      <c r="AK36" s="49">
        <f>(I25/(SQRT((AJ36+0.5*K25)/2)))</f>
        <v>12.330414852501217</v>
      </c>
      <c r="AL36" s="49">
        <f>IF(ISNUMBER(AF27),IF(AND(AF27&gt;=0,AF27&lt;0.65),1,IF(AND(AF27&gt;=0.65,AF27&lt;1.3),2,IF(AND(AF27&gt;=1.3,AF27&lt;2.9),3,IF(AND(AF27&gt;=2.9,AF27&lt;5.2),4,IF(AND(AF27&gt;=5.2,AF27&lt;8.1),5,IF(AF27&gt;=8.1,6,"FALSE")))))))</f>
        <v>3</v>
      </c>
      <c r="AN36" s="34"/>
      <c r="AT36" s="49"/>
    </row>
    <row r="37" spans="2:46">
      <c r="B37" s="128">
        <v>3</v>
      </c>
      <c r="C37" s="134">
        <f>IF(OR(ISTEXT(C18),ISNUMBER(C18)),C18,"")</f>
        <v>14310218</v>
      </c>
      <c r="D37" s="179">
        <f>IF(OR(ISNUMBER(AF28),AND(AF28="No Data",OR(ISTEXT(C18),ISNUMBER(C18)))),AF28,"")</f>
        <v>5.6</v>
      </c>
      <c r="E37" s="179">
        <f t="shared" si="3"/>
        <v>2.0136182336182333</v>
      </c>
      <c r="F37" s="179">
        <f t="shared" si="3"/>
        <v>26</v>
      </c>
      <c r="G37" s="179">
        <f t="shared" si="4"/>
        <v>7.5</v>
      </c>
      <c r="H37" s="1050">
        <f>IF(ISNUMBER(AK28),AK28,"")</f>
        <v>31.576723317281619</v>
      </c>
      <c r="I37" s="1051" t="str">
        <f>IF(ISNUMBER(#REF!),#REF!,"")</f>
        <v/>
      </c>
      <c r="J37" s="179">
        <f>IF(OR(ISNUMBER(AL28),AL28="&lt;0.1"),AL28,"")</f>
        <v>27.055219199066304</v>
      </c>
      <c r="K37" s="179">
        <f>IF(OR(ISNUMBER(AM28),AM28="&lt;0.1"),AM28,"")</f>
        <v>31.184295445831442</v>
      </c>
      <c r="L37" s="244" t="str">
        <f>IF(ISNUMBER(AL37),VLOOKUP(AL37,'Reference Lists&amp;Tables'!$A$13:$K$19,11,FALSE),"")</f>
        <v>Very High</v>
      </c>
      <c r="M37" s="1025" t="str">
        <f>IF(ISNUMBER(AL37),VLOOKUP(AL37,'Reference Lists&amp;Tables'!$A$14:$L$19,12,FALSE),"")</f>
        <v>Very tolerant</v>
      </c>
      <c r="N37" s="1025"/>
      <c r="O37" s="104"/>
      <c r="P37" s="247" t="s">
        <v>456</v>
      </c>
      <c r="Q37" s="195">
        <v>1200</v>
      </c>
      <c r="R37" s="141" t="s">
        <v>136</v>
      </c>
      <c r="S37" s="142">
        <v>1500</v>
      </c>
      <c r="T37" s="247" t="s">
        <v>462</v>
      </c>
      <c r="U37" s="195">
        <v>1700</v>
      </c>
      <c r="V37" s="1029" t="s">
        <v>442</v>
      </c>
      <c r="W37" s="1025"/>
      <c r="X37" s="1025" t="s">
        <v>448</v>
      </c>
      <c r="Y37" s="1025"/>
      <c r="Z37" s="1026"/>
      <c r="AA37" s="163"/>
      <c r="AB37" s="163"/>
      <c r="AC37" s="146"/>
      <c r="AE37" s="217">
        <f>(100*(-0.0126+0.01475*$AK28))/(1+(-0.0126+0.01475*$AK28))</f>
        <v>31.184295445831442</v>
      </c>
      <c r="AF37" s="217"/>
      <c r="AG37" s="217">
        <f>(100*(-0.0126+0.01475*$AH28))/(1+(-0.0126+0.01475*$AH28))</f>
        <v>27.055219199066304</v>
      </c>
      <c r="AH37" s="162" t="b">
        <f>AND(ISNUMBER(L18),ISNUMBER(M18),ISNUMBER(N18),ISNUMBER(AI28))</f>
        <v>1</v>
      </c>
      <c r="AI37" s="217">
        <f>J26-AI28</f>
        <v>-4.2</v>
      </c>
      <c r="AJ37" s="49">
        <f>IF(AH37,IF(AI37&gt;0,AI37,IF(AI37&lt;0,0,"No Data")),"No Data")</f>
        <v>0</v>
      </c>
      <c r="AK37" s="49">
        <f>(I26/(SQRT((AJ37+0.5*K26)/2)))</f>
        <v>50.517909740461889</v>
      </c>
      <c r="AL37" s="49">
        <f>IF(ISNUMBER(AF28),IF(AND(AF28&gt;=0,AF28&lt;0.65),1,IF(AND(AF28&gt;=0.65,AF28&lt;1.3),2,IF(AND(AF28&gt;=1.3,AF28&lt;2.9),3,IF(AND(AF28&gt;=2.9,AF28&lt;5.2),4,IF(AND(AF28&gt;=5.2,AF28&lt;8.1),5,IF(AF28&gt;=8.1,6,"FALSE")))))))</f>
        <v>5</v>
      </c>
      <c r="AN37" s="34"/>
      <c r="AT37" s="49"/>
    </row>
    <row r="38" spans="2:46">
      <c r="B38" s="128">
        <v>4</v>
      </c>
      <c r="C38" s="134" t="str">
        <f>IF(OR(ISTEXT(C19),ISNUMBER(C19)),C19,"")</f>
        <v>Tenthill 14320222</v>
      </c>
      <c r="D38" s="179">
        <f>IF(OR(ISNUMBER(AF29),AND(AF29="No Data",OR(ISTEXT(C19),ISNUMBER(C19)))),AF29,"")</f>
        <v>3.1</v>
      </c>
      <c r="E38" s="179">
        <f t="shared" si="3"/>
        <v>1.1352</v>
      </c>
      <c r="F38" s="179">
        <f t="shared" si="3"/>
        <v>2</v>
      </c>
      <c r="G38" s="179">
        <f t="shared" si="4"/>
        <v>0</v>
      </c>
      <c r="H38" s="1050">
        <f>IF(ISNUMBER(AK29),AK29,"")</f>
        <v>2.2510196371999172</v>
      </c>
      <c r="I38" s="1051" t="str">
        <f>IF(ISNUMBER(#REF!),#REF!,"")</f>
        <v/>
      </c>
      <c r="J38" s="179">
        <f>IF(OR(ISNUMBER(AL29),AL29="&lt;0.1"),AL29,"")</f>
        <v>1.6619136591601928</v>
      </c>
      <c r="K38" s="179">
        <f>IF(OR(ISNUMBER(AM29),AM29="&lt;0.1"),AM29,"")</f>
        <v>2.018664352509878</v>
      </c>
      <c r="L38" s="244" t="str">
        <f>IF(ISNUMBER(AL38),VLOOKUP(AL38,'Reference Lists&amp;Tables'!$A$13:$K$19,11,FALSE),"")</f>
        <v>High</v>
      </c>
      <c r="M38" s="1025" t="str">
        <f>IF(ISNUMBER(AL38),VLOOKUP(AL38,'Reference Lists&amp;Tables'!$A$14:$L$19,12,FALSE),"")</f>
        <v>Tolerant</v>
      </c>
      <c r="N38" s="1025"/>
      <c r="O38" s="104"/>
      <c r="P38" s="247" t="s">
        <v>457</v>
      </c>
      <c r="Q38" s="195">
        <v>2000</v>
      </c>
      <c r="R38" s="141" t="s">
        <v>138</v>
      </c>
      <c r="S38" s="142">
        <v>2500</v>
      </c>
      <c r="T38" s="247" t="s">
        <v>463</v>
      </c>
      <c r="U38" s="195">
        <v>2900</v>
      </c>
      <c r="V38" s="1029" t="s">
        <v>443</v>
      </c>
      <c r="W38" s="1025"/>
      <c r="X38" s="1025" t="s">
        <v>449</v>
      </c>
      <c r="Y38" s="1025"/>
      <c r="Z38" s="1026"/>
      <c r="AA38" s="163"/>
      <c r="AB38" s="163"/>
      <c r="AC38" s="146"/>
      <c r="AE38" s="217">
        <f>(100*(-0.0126+0.01475*$AK29))/(1+(-0.0126+0.01475*$AK29))</f>
        <v>2.018664352509878</v>
      </c>
      <c r="AF38" s="217"/>
      <c r="AG38" s="217">
        <f>(100*(-0.0126+0.01475*$AH29))/(1+(-0.0126+0.01475*$AH29))</f>
        <v>1.6619136591601928</v>
      </c>
      <c r="AH38" s="162" t="b">
        <f>AND(ISNUMBER(L19),ISNUMBER(M19),ISNUMBER(N19),ISNUMBER(AI29))</f>
        <v>1</v>
      </c>
      <c r="AI38" s="217">
        <f>J27-AI29</f>
        <v>6.5</v>
      </c>
      <c r="AJ38" s="49">
        <f>IF(AH38,IF(AI38&gt;0,AI38,IF(AI38&lt;0,0,"No Data")),"No Data")</f>
        <v>6.5</v>
      </c>
      <c r="AK38" s="49">
        <f>(I27/(SQRT((AJ38+0.5*K27)/2)))</f>
        <v>2.5742947058089105</v>
      </c>
      <c r="AL38" s="49">
        <f>IF(ISNUMBER(AF29),IF(AND(AF29&gt;=0,AF29&lt;0.65),1,IF(AND(AF29&gt;=0.65,AF29&lt;1.3),2,IF(AND(AF29&gt;=1.3,AF29&lt;2.9),3,IF(AND(AF29&gt;=2.9,AF29&lt;5.2),4,IF(AND(AF29&gt;=5.2,AF29&lt;8.1),5,IF(AF29&gt;=8.1,6,"FALSE")))))))</f>
        <v>4</v>
      </c>
      <c r="AN38" s="34"/>
      <c r="AT38" s="49"/>
    </row>
    <row r="39" spans="2:46" ht="15" thickBot="1">
      <c r="B39" s="128">
        <v>5</v>
      </c>
      <c r="C39" s="134" t="s">
        <v>1571</v>
      </c>
      <c r="D39" s="179">
        <f>IF(OR(ISNUMBER(AF30),AND(AF30="No Data",OR(ISTEXT(C20),ISNUMBER(C20)))),AF30,"")</f>
        <v>0.03</v>
      </c>
      <c r="E39" s="179">
        <f t="shared" si="3"/>
        <v>3.0000000000000002E-2</v>
      </c>
      <c r="F39" s="179">
        <f t="shared" si="3"/>
        <v>0.52</v>
      </c>
      <c r="G39" s="179">
        <f t="shared" si="4"/>
        <v>0</v>
      </c>
      <c r="H39" s="1050">
        <f>IF(ISNUMBER(AK30),AK30,"")</f>
        <v>6.0558410632291178E-2</v>
      </c>
      <c r="I39" s="1051" t="str">
        <f>IF(ISNUMBER(#REF!),#REF!,"")</f>
        <v/>
      </c>
      <c r="J39" s="179" t="str">
        <f>IF(OR(ISNUMBER(AL30),AL30="&lt;0.1"),AL30,"")</f>
        <v>&lt;0.1</v>
      </c>
      <c r="K39" s="179" t="str">
        <f>IF(OR(ISNUMBER(AM30),AM30="&lt;0.1"),AM30,"")</f>
        <v>&lt;0.1</v>
      </c>
      <c r="L39" s="244" t="str">
        <f>IF(ISNUMBER(AL39),VLOOKUP(AL39,'Reference Lists&amp;Tables'!$A$13:$K$19,11,FALSE),"")</f>
        <v>Very Low</v>
      </c>
      <c r="M39" s="1025" t="str">
        <f>IF(ISNUMBER(AL39),VLOOKUP(AL39,'Reference Lists&amp;Tables'!$A$14:$L$19,12,FALSE),"")</f>
        <v>Sensitive</v>
      </c>
      <c r="N39" s="1025"/>
      <c r="O39" s="104"/>
      <c r="P39" s="248" t="s">
        <v>458</v>
      </c>
      <c r="Q39" s="250" t="s">
        <v>473</v>
      </c>
      <c r="R39" s="143" t="s">
        <v>140</v>
      </c>
      <c r="S39" s="144" t="s">
        <v>141</v>
      </c>
      <c r="T39" s="248" t="s">
        <v>464</v>
      </c>
      <c r="U39" s="214" t="s">
        <v>474</v>
      </c>
      <c r="V39" s="1031" t="s">
        <v>444</v>
      </c>
      <c r="W39" s="1032"/>
      <c r="X39" s="1032" t="s">
        <v>450</v>
      </c>
      <c r="Y39" s="1032"/>
      <c r="Z39" s="1054"/>
      <c r="AA39" s="163"/>
      <c r="AB39" s="163"/>
      <c r="AC39" s="146"/>
      <c r="AE39" s="217">
        <f>(100*(-0.0126+0.01475*$AK30))/(1+(-0.0126+0.01475*$AK30))</f>
        <v>-1.1845435150360428</v>
      </c>
      <c r="AF39" s="217"/>
      <c r="AG39" s="217">
        <f>(100*(-0.0126+0.01475*$AH30))/(1+(-0.0126+0.01475*$AH30))</f>
        <v>-0.49544253168118829</v>
      </c>
      <c r="AH39" s="162" t="b">
        <f>AND(ISNUMBER(L20),ISNUMBER(M20),ISNUMBER(N20),ISNUMBER(AI30))</f>
        <v>1</v>
      </c>
      <c r="AI39" s="217">
        <f>J28-AI30</f>
        <v>0.04</v>
      </c>
      <c r="AJ39" s="49">
        <f>IF(AH39,IF(AI39&gt;0,AI39,IF(AI39&lt;0,0,"No Data")),"No Data")</f>
        <v>0.04</v>
      </c>
      <c r="AK39" s="49">
        <f>(I28/(SQRT((AJ39+0.5*K28)/2)))</f>
        <v>0.56920997883030822</v>
      </c>
      <c r="AL39" s="49">
        <f>IF(ISNUMBER(AF30),IF(AND(AF30&gt;=0,AF30&lt;0.65),1,IF(AND(AF30&gt;=0.65,AF30&lt;1.3),2,IF(AND(AF30&gt;=1.3,AF30&lt;2.9),3,IF(AND(AF30&gt;=2.9,AF30&lt;5.2),4,IF(AND(AF30&gt;=5.2,AF30&lt;8.1),5,IF(AF30&gt;=8.1,6,"FALSE")))))))</f>
        <v>1</v>
      </c>
      <c r="AN39" s="34"/>
      <c r="AT39" s="49"/>
    </row>
    <row r="40" spans="2:46">
      <c r="B40" s="169"/>
      <c r="C40" s="161"/>
      <c r="D40" s="161"/>
      <c r="E40" s="161"/>
      <c r="F40" s="161"/>
      <c r="G40" s="161"/>
      <c r="H40" s="161"/>
      <c r="I40" s="161"/>
      <c r="J40" s="161"/>
      <c r="K40" s="161"/>
      <c r="L40" s="161"/>
      <c r="M40" s="161"/>
      <c r="N40" s="161"/>
      <c r="O40" s="161"/>
      <c r="P40" s="161"/>
      <c r="Q40" s="161"/>
      <c r="R40" s="161"/>
      <c r="S40" s="161"/>
      <c r="T40" s="161"/>
      <c r="U40" s="161"/>
      <c r="V40" s="161"/>
      <c r="AB40" s="163"/>
      <c r="AC40" s="146"/>
      <c r="AN40" s="49"/>
      <c r="AO40" s="49"/>
      <c r="AP40" s="49"/>
    </row>
    <row r="41" spans="2:46" ht="18.5">
      <c r="B41" s="1002" t="s">
        <v>907</v>
      </c>
      <c r="C41" s="1003"/>
      <c r="D41" s="1003"/>
      <c r="J41" s="794" t="str">
        <f>IF(OR(F35&gt;30,F36&gt;30,F37&gt;30,F38&gt;30,F39&gt;30),"At least one Y value of SAR exceeds the graph axis","")</f>
        <v/>
      </c>
      <c r="N41" s="794" t="str">
        <f>IF(OR(E35&gt;10,E36&gt;10,E37&gt;10,E38&gt;10,E39&gt;10),"At least one X value of EC exceeds the graph axis","")</f>
        <v/>
      </c>
      <c r="R41" s="1007"/>
      <c r="S41" s="943"/>
      <c r="T41" s="943"/>
      <c r="U41" s="943"/>
      <c r="V41" s="943"/>
      <c r="W41" s="943"/>
      <c r="X41" s="943"/>
      <c r="Y41" s="943"/>
      <c r="Z41" s="943"/>
      <c r="AA41" s="943"/>
      <c r="AB41" s="163"/>
      <c r="AC41" s="146"/>
      <c r="AN41" s="49"/>
      <c r="AO41" s="49"/>
      <c r="AP41" s="49"/>
    </row>
    <row r="42" spans="2:46">
      <c r="B42" s="150"/>
      <c r="S42" s="1006" t="s">
        <v>1418</v>
      </c>
      <c r="T42" s="1006"/>
      <c r="U42" s="1006"/>
      <c r="V42" s="1006"/>
      <c r="W42" s="1006"/>
      <c r="X42" s="1006"/>
      <c r="Y42" s="1006"/>
      <c r="Z42" s="1006"/>
      <c r="AA42" s="1006"/>
      <c r="AB42" s="163"/>
      <c r="AC42" s="146"/>
      <c r="AE42" s="162" t="s">
        <v>488</v>
      </c>
      <c r="AF42" s="162"/>
      <c r="AG42" s="162"/>
      <c r="AH42" s="162"/>
      <c r="AI42" s="162"/>
      <c r="AJ42" s="49"/>
    </row>
    <row r="43" spans="2:46" ht="15.75" customHeight="1">
      <c r="B43" s="1004" t="s">
        <v>908</v>
      </c>
      <c r="C43" s="1005"/>
      <c r="D43" s="1005"/>
      <c r="E43" s="1005"/>
      <c r="F43" s="1005"/>
      <c r="G43" s="1005"/>
      <c r="H43" s="1005"/>
      <c r="S43" s="1006"/>
      <c r="T43" s="1006"/>
      <c r="U43" s="1006"/>
      <c r="V43" s="1006"/>
      <c r="W43" s="1006"/>
      <c r="X43" s="1006"/>
      <c r="Y43" s="1006"/>
      <c r="Z43" s="1006"/>
      <c r="AA43" s="1006"/>
      <c r="AB43" s="309"/>
      <c r="AC43" s="146"/>
      <c r="AE43" s="162" t="str">
        <f t="shared" ref="AE43:AJ43" si="5">B33</f>
        <v>Sample</v>
      </c>
      <c r="AF43" s="162" t="str">
        <f t="shared" si="5"/>
        <v>No/Description</v>
      </c>
      <c r="AG43" s="162" t="str">
        <f t="shared" si="5"/>
        <v>ECi</v>
      </c>
      <c r="AH43" s="162" t="str">
        <f t="shared" si="5"/>
        <v xml:space="preserve">ECi+r </v>
      </c>
      <c r="AI43" s="162" t="str">
        <f t="shared" si="5"/>
        <v>SAR</v>
      </c>
      <c r="AJ43" s="49" t="str">
        <f t="shared" si="5"/>
        <v>RA</v>
      </c>
    </row>
    <row r="44" spans="2:46" ht="18" customHeight="1">
      <c r="B44" s="1004"/>
      <c r="C44" s="1005"/>
      <c r="D44" s="1005"/>
      <c r="E44" s="1005"/>
      <c r="F44" s="1005"/>
      <c r="G44" s="1005"/>
      <c r="H44" s="1005"/>
      <c r="S44" s="1006"/>
      <c r="T44" s="1006"/>
      <c r="U44" s="1006"/>
      <c r="V44" s="1006"/>
      <c r="W44" s="1006"/>
      <c r="X44" s="1006"/>
      <c r="Y44" s="1006"/>
      <c r="Z44" s="1006"/>
      <c r="AA44" s="1006"/>
      <c r="AB44" s="309"/>
      <c r="AC44" s="146"/>
      <c r="AE44" s="162"/>
      <c r="AF44" s="162"/>
      <c r="AG44" s="162" t="str">
        <f>D34</f>
        <v>dS/m</v>
      </c>
      <c r="AH44" s="162" t="str">
        <f>E34</f>
        <v>dS/m</v>
      </c>
      <c r="AI44" s="162">
        <f>F34</f>
        <v>0</v>
      </c>
      <c r="AJ44" s="49" t="str">
        <f>G34</f>
        <v>mmolc/L</v>
      </c>
    </row>
    <row r="45" spans="2:46" ht="15.75" customHeight="1">
      <c r="B45" s="1004" t="s">
        <v>743</v>
      </c>
      <c r="C45" s="1005"/>
      <c r="D45" s="1005"/>
      <c r="E45" s="1005"/>
      <c r="F45" s="1005"/>
      <c r="G45" s="1005"/>
      <c r="H45" s="1005"/>
      <c r="AC45" s="146"/>
      <c r="AE45" s="162">
        <f t="shared" ref="AE45:AF49" si="6">B35</f>
        <v>1</v>
      </c>
      <c r="AF45" s="162" t="str">
        <f t="shared" si="6"/>
        <v>Yelarbon bore</v>
      </c>
      <c r="AG45" s="162">
        <f>IF(AF26&gt;10,10,AF26)</f>
        <v>1.107</v>
      </c>
      <c r="AH45" s="162">
        <f>AG26</f>
        <v>0.41354700854700854</v>
      </c>
      <c r="AI45" s="162">
        <f>IF(AH26&gt;30,30,AH26)</f>
        <v>19</v>
      </c>
      <c r="AJ45" s="49">
        <f>AI26</f>
        <v>0</v>
      </c>
    </row>
    <row r="46" spans="2:46" ht="15.75" customHeight="1">
      <c r="B46" s="1004"/>
      <c r="C46" s="1005"/>
      <c r="D46" s="1005"/>
      <c r="E46" s="1005"/>
      <c r="F46" s="1005"/>
      <c r="G46" s="1005"/>
      <c r="H46" s="1005"/>
      <c r="AC46" s="146"/>
      <c r="AE46" s="162">
        <f t="shared" si="6"/>
        <v>2</v>
      </c>
      <c r="AF46" s="162" t="str">
        <f t="shared" si="6"/>
        <v>Burd 12001253  11/93</v>
      </c>
      <c r="AG46" s="162">
        <f>IF(AF27&gt;10,10,AF27)</f>
        <v>1.35</v>
      </c>
      <c r="AH46" s="162">
        <f>AG27</f>
        <v>0.69</v>
      </c>
      <c r="AI46" s="162">
        <f>IF(AH27&gt;30,30,AH27)</f>
        <v>6.5</v>
      </c>
      <c r="AJ46" s="49">
        <f>AI27</f>
        <v>2.31</v>
      </c>
    </row>
    <row r="47" spans="2:46" ht="15.75" customHeight="1">
      <c r="B47" s="1004"/>
      <c r="C47" s="1005"/>
      <c r="D47" s="1005"/>
      <c r="E47" s="1005"/>
      <c r="F47" s="1005"/>
      <c r="G47" s="1005"/>
      <c r="H47" s="1005"/>
      <c r="AC47" s="146"/>
      <c r="AE47" s="162">
        <f t="shared" si="6"/>
        <v>3</v>
      </c>
      <c r="AF47" s="162">
        <f t="shared" si="6"/>
        <v>14310218</v>
      </c>
      <c r="AG47" s="162">
        <f>IF(AF28&gt;10,10,AF28)</f>
        <v>5.6</v>
      </c>
      <c r="AH47" s="162">
        <f>AG28</f>
        <v>2.0136182336182333</v>
      </c>
      <c r="AI47" s="162">
        <f>IF(AH28&gt;30,30,AH28)</f>
        <v>26</v>
      </c>
      <c r="AJ47" s="49">
        <f>AI28</f>
        <v>7.5</v>
      </c>
    </row>
    <row r="48" spans="2:46">
      <c r="B48" s="1033" t="s">
        <v>758</v>
      </c>
      <c r="C48" s="1034"/>
      <c r="D48" s="1034"/>
      <c r="E48" s="1034"/>
      <c r="F48" s="1034"/>
      <c r="G48" s="1034"/>
      <c r="H48" s="1034"/>
      <c r="AC48" s="146"/>
      <c r="AE48" s="49">
        <f t="shared" si="6"/>
        <v>4</v>
      </c>
      <c r="AF48" s="49" t="str">
        <f t="shared" si="6"/>
        <v>Tenthill 14320222</v>
      </c>
      <c r="AG48" s="119">
        <f>IF(AF29&gt;10,10,AF29)</f>
        <v>3.1</v>
      </c>
      <c r="AH48" s="49">
        <f>AG29</f>
        <v>1.1352</v>
      </c>
      <c r="AI48" s="119">
        <f>IF(AH29&gt;30,30,AH29)</f>
        <v>2</v>
      </c>
      <c r="AJ48" s="49">
        <f>AI29</f>
        <v>0</v>
      </c>
    </row>
    <row r="49" spans="2:42">
      <c r="B49" s="1033"/>
      <c r="C49" s="1034"/>
      <c r="D49" s="1034"/>
      <c r="E49" s="1034"/>
      <c r="F49" s="1034"/>
      <c r="G49" s="1034"/>
      <c r="H49" s="1034"/>
      <c r="AC49" s="146"/>
      <c r="AE49" s="49">
        <f t="shared" si="6"/>
        <v>5</v>
      </c>
      <c r="AF49" s="49" t="str">
        <f t="shared" si="6"/>
        <v xml:space="preserve">Rainfall - No irrigation </v>
      </c>
      <c r="AG49" s="119">
        <f>IF(AF30&gt;10,10,AF30)</f>
        <v>0.03</v>
      </c>
      <c r="AH49" s="49">
        <f>AG30</f>
        <v>3.0000000000000002E-2</v>
      </c>
      <c r="AI49" s="119">
        <f>IF(AH30&gt;30,30,AH30)</f>
        <v>0.52</v>
      </c>
      <c r="AJ49" s="49">
        <f>AI30</f>
        <v>0</v>
      </c>
    </row>
    <row r="50" spans="2:42" ht="15" customHeight="1">
      <c r="B50" s="1033"/>
      <c r="C50" s="1034"/>
      <c r="D50" s="1034"/>
      <c r="E50" s="1034"/>
      <c r="F50" s="1034"/>
      <c r="G50" s="1034"/>
      <c r="H50" s="1034"/>
      <c r="AC50" s="146"/>
      <c r="AN50" s="49"/>
      <c r="AO50" s="49"/>
      <c r="AP50" s="49"/>
    </row>
    <row r="51" spans="2:42" ht="21.75" customHeight="1">
      <c r="B51" s="1033"/>
      <c r="C51" s="1034"/>
      <c r="D51" s="1034"/>
      <c r="E51" s="1034"/>
      <c r="F51" s="1034"/>
      <c r="G51" s="1034"/>
      <c r="H51" s="1034"/>
      <c r="AC51" s="146"/>
      <c r="AN51" s="49"/>
      <c r="AO51" s="49"/>
      <c r="AP51" s="49"/>
    </row>
    <row r="52" spans="2:42" ht="15" customHeight="1">
      <c r="B52" s="1033" t="s">
        <v>1425</v>
      </c>
      <c r="C52" s="1034"/>
      <c r="D52" s="1034"/>
      <c r="E52" s="1034"/>
      <c r="F52" s="1034"/>
      <c r="G52" s="1034"/>
      <c r="H52" s="1034"/>
      <c r="K52" s="151"/>
      <c r="L52" s="151"/>
      <c r="M52" s="151"/>
      <c r="N52" s="151"/>
      <c r="O52" s="151"/>
      <c r="P52" s="151"/>
      <c r="Q52" s="151"/>
      <c r="R52" s="151"/>
      <c r="S52" s="151"/>
      <c r="T52" s="151"/>
      <c r="U52" s="151"/>
      <c r="AC52" s="146"/>
      <c r="AJ52" s="49"/>
      <c r="AK52" s="49"/>
    </row>
    <row r="53" spans="2:42">
      <c r="B53" s="1033"/>
      <c r="C53" s="1034"/>
      <c r="D53" s="1034"/>
      <c r="E53" s="1034"/>
      <c r="F53" s="1034"/>
      <c r="G53" s="1034"/>
      <c r="H53" s="1034"/>
      <c r="K53" s="151"/>
      <c r="L53" s="151"/>
      <c r="M53" s="151"/>
      <c r="N53" s="151"/>
      <c r="O53" s="151"/>
      <c r="P53" s="151"/>
      <c r="Q53" s="151"/>
      <c r="R53" s="151"/>
      <c r="S53" s="151"/>
      <c r="T53" s="151"/>
      <c r="U53" s="151"/>
      <c r="AC53" s="146"/>
      <c r="AF53" s="49"/>
      <c r="AG53" s="49"/>
      <c r="AH53" s="49"/>
      <c r="AI53" s="49"/>
      <c r="AJ53" s="49"/>
      <c r="AK53" s="49"/>
    </row>
    <row r="54" spans="2:42">
      <c r="B54" s="1033"/>
      <c r="C54" s="1034"/>
      <c r="D54" s="1034"/>
      <c r="E54" s="1034"/>
      <c r="F54" s="1034"/>
      <c r="G54" s="1034"/>
      <c r="H54" s="1034"/>
      <c r="K54" s="151"/>
      <c r="L54" s="151"/>
      <c r="M54" s="151"/>
      <c r="N54" s="151"/>
      <c r="O54" s="151"/>
      <c r="P54" s="151"/>
      <c r="Q54" s="151"/>
      <c r="R54" s="151"/>
      <c r="S54" s="151"/>
      <c r="T54" s="151"/>
      <c r="U54" s="151"/>
      <c r="AC54" s="146"/>
      <c r="AF54" s="49"/>
      <c r="AG54" s="49"/>
      <c r="AH54" s="49"/>
      <c r="AI54" s="49"/>
      <c r="AJ54" s="49"/>
      <c r="AK54" s="49"/>
    </row>
    <row r="55" spans="2:42" ht="13.65" customHeight="1">
      <c r="B55" s="1033"/>
      <c r="C55" s="1034"/>
      <c r="D55" s="1034"/>
      <c r="E55" s="1034"/>
      <c r="F55" s="1034"/>
      <c r="G55" s="1034"/>
      <c r="H55" s="1034"/>
      <c r="K55" s="151"/>
      <c r="L55" s="151"/>
      <c r="M55" s="151"/>
      <c r="N55" s="151"/>
      <c r="O55" s="151"/>
      <c r="P55" s="151"/>
      <c r="Q55" s="151"/>
      <c r="R55" s="151"/>
      <c r="S55" s="151"/>
      <c r="T55" s="151"/>
      <c r="U55" s="151"/>
      <c r="AC55" s="146"/>
      <c r="AF55" s="49"/>
      <c r="AG55" s="49"/>
      <c r="AH55" s="49"/>
      <c r="AI55" s="49"/>
      <c r="AJ55" s="49"/>
      <c r="AK55" s="49"/>
    </row>
    <row r="56" spans="2:42" ht="15" customHeight="1">
      <c r="B56" s="1000" t="s">
        <v>1416</v>
      </c>
      <c r="C56" s="1001"/>
      <c r="D56" s="1001"/>
      <c r="E56" s="1001"/>
      <c r="F56" s="1001"/>
      <c r="G56" s="1001"/>
      <c r="H56" s="1001"/>
      <c r="AC56" s="146"/>
      <c r="AF56" s="49"/>
      <c r="AG56" s="49"/>
      <c r="AH56" s="49"/>
      <c r="AI56" s="49"/>
      <c r="AJ56" s="49"/>
      <c r="AK56" s="49"/>
    </row>
    <row r="57" spans="2:42" ht="15" customHeight="1">
      <c r="B57" s="1000"/>
      <c r="C57" s="1001"/>
      <c r="D57" s="1001"/>
      <c r="E57" s="1001"/>
      <c r="F57" s="1001"/>
      <c r="G57" s="1001"/>
      <c r="H57" s="1001"/>
      <c r="K57" s="151"/>
      <c r="L57" s="151"/>
      <c r="M57" s="151"/>
      <c r="N57" s="151"/>
      <c r="O57" s="151"/>
      <c r="P57" s="151"/>
      <c r="Q57" s="151"/>
      <c r="R57" s="151"/>
      <c r="S57" s="151"/>
      <c r="T57" s="151"/>
      <c r="U57" s="151"/>
      <c r="AC57" s="146"/>
      <c r="AF57" s="49"/>
      <c r="AG57" s="49"/>
      <c r="AH57" s="49"/>
      <c r="AI57" s="49"/>
      <c r="AJ57" s="49"/>
      <c r="AK57" s="49"/>
    </row>
    <row r="58" spans="2:42" ht="33.75" customHeight="1">
      <c r="B58" s="1000"/>
      <c r="C58" s="1001"/>
      <c r="D58" s="1001"/>
      <c r="E58" s="1001"/>
      <c r="F58" s="1001"/>
      <c r="G58" s="1001"/>
      <c r="H58" s="1001"/>
      <c r="K58" s="151"/>
      <c r="L58" s="151"/>
      <c r="M58" s="151"/>
      <c r="N58" s="151"/>
      <c r="O58" s="151"/>
      <c r="P58" s="151"/>
      <c r="Q58" s="151"/>
      <c r="R58" s="151"/>
      <c r="S58" s="151"/>
      <c r="T58" s="151"/>
      <c r="U58" s="151"/>
      <c r="AC58" s="146"/>
      <c r="AF58" s="49"/>
      <c r="AG58" s="49"/>
      <c r="AH58" s="49"/>
      <c r="AI58" s="49"/>
      <c r="AJ58" s="49"/>
      <c r="AK58" s="49"/>
    </row>
    <row r="59" spans="2:42" ht="10.5" customHeight="1">
      <c r="B59" s="1000"/>
      <c r="C59" s="1001"/>
      <c r="D59" s="1001"/>
      <c r="E59" s="1001"/>
      <c r="F59" s="1001"/>
      <c r="G59" s="1001"/>
      <c r="H59" s="1001"/>
      <c r="K59" s="151"/>
      <c r="L59" s="151"/>
      <c r="M59" s="151"/>
      <c r="N59" s="151"/>
      <c r="O59" s="151"/>
      <c r="P59" s="151"/>
      <c r="Q59" s="151"/>
      <c r="R59" s="151"/>
      <c r="S59" s="151"/>
      <c r="T59" s="151"/>
      <c r="U59" s="151"/>
      <c r="AC59" s="146"/>
      <c r="AF59" s="49"/>
      <c r="AG59" s="49"/>
      <c r="AH59" s="49"/>
      <c r="AI59" s="49"/>
      <c r="AJ59" s="49"/>
      <c r="AK59" s="49"/>
    </row>
    <row r="60" spans="2:42" ht="15" customHeight="1">
      <c r="B60" s="1004" t="s">
        <v>1417</v>
      </c>
      <c r="C60" s="1005"/>
      <c r="D60" s="1005"/>
      <c r="E60" s="1005"/>
      <c r="F60" s="1005"/>
      <c r="G60" s="1005"/>
      <c r="H60" s="1005"/>
      <c r="K60" s="151"/>
      <c r="L60" s="151"/>
      <c r="M60" s="151"/>
      <c r="N60" s="151"/>
      <c r="O60" s="151"/>
      <c r="P60" s="151"/>
      <c r="Q60" s="151"/>
      <c r="R60" s="151"/>
      <c r="S60" s="151"/>
      <c r="T60" s="151"/>
      <c r="U60" s="151"/>
      <c r="AC60" s="146"/>
    </row>
    <row r="61" spans="2:42" ht="15" customHeight="1">
      <c r="B61" s="1004"/>
      <c r="C61" s="1005"/>
      <c r="D61" s="1005"/>
      <c r="E61" s="1005"/>
      <c r="F61" s="1005"/>
      <c r="G61" s="1005"/>
      <c r="H61" s="1005"/>
      <c r="AC61" s="146"/>
    </row>
    <row r="62" spans="2:42" ht="15" customHeight="1">
      <c r="B62" s="1004"/>
      <c r="C62" s="1005"/>
      <c r="D62" s="1005"/>
      <c r="E62" s="1005"/>
      <c r="F62" s="1005"/>
      <c r="G62" s="1005"/>
      <c r="H62" s="1005"/>
      <c r="K62" s="151"/>
      <c r="L62" s="151"/>
      <c r="M62" s="151"/>
      <c r="N62" s="151"/>
      <c r="O62" s="151"/>
      <c r="P62" s="151"/>
      <c r="Q62" s="151"/>
      <c r="R62" s="151"/>
      <c r="S62" s="151"/>
      <c r="T62" s="151"/>
      <c r="U62" s="151"/>
      <c r="AC62" s="146"/>
    </row>
    <row r="63" spans="2:42" ht="15" customHeight="1">
      <c r="B63" s="1004"/>
      <c r="C63" s="1005"/>
      <c r="D63" s="1005"/>
      <c r="E63" s="1005"/>
      <c r="F63" s="1005"/>
      <c r="G63" s="1005"/>
      <c r="H63" s="1005"/>
      <c r="K63" s="151"/>
      <c r="L63" s="151"/>
      <c r="M63" s="151"/>
      <c r="N63" s="151"/>
      <c r="O63" s="151"/>
      <c r="P63" s="151"/>
      <c r="Q63" s="151"/>
      <c r="R63" s="151"/>
      <c r="S63" s="151"/>
      <c r="T63" s="151"/>
      <c r="U63" s="151"/>
      <c r="AC63" s="146"/>
    </row>
    <row r="64" spans="2:42">
      <c r="B64" s="1004"/>
      <c r="C64" s="1005"/>
      <c r="D64" s="1005"/>
      <c r="E64" s="1005"/>
      <c r="F64" s="1005"/>
      <c r="G64" s="1005"/>
      <c r="H64" s="1005"/>
      <c r="K64" s="151"/>
      <c r="L64" s="151"/>
      <c r="M64" s="151"/>
      <c r="N64" s="151"/>
      <c r="O64" s="151"/>
      <c r="P64" s="151"/>
      <c r="Q64" s="151"/>
      <c r="R64" s="151"/>
      <c r="S64" s="151"/>
      <c r="T64" s="151"/>
      <c r="U64" s="151"/>
      <c r="AC64" s="146"/>
    </row>
    <row r="65" spans="2:29">
      <c r="B65" s="152"/>
      <c r="K65" s="151"/>
      <c r="L65" s="151"/>
      <c r="M65" s="151"/>
      <c r="N65" s="151"/>
      <c r="O65" s="151"/>
      <c r="P65" s="151"/>
      <c r="Q65" s="151"/>
      <c r="R65" s="151"/>
      <c r="S65" s="151"/>
      <c r="T65" s="151"/>
      <c r="U65" s="151"/>
      <c r="AC65" s="146"/>
    </row>
    <row r="66" spans="2:29">
      <c r="B66" s="152"/>
      <c r="K66" s="151"/>
      <c r="L66" s="151"/>
      <c r="M66" s="151"/>
      <c r="N66" s="151"/>
      <c r="O66" s="151"/>
      <c r="P66" s="151"/>
      <c r="Q66" s="151"/>
      <c r="R66" s="151"/>
      <c r="S66" s="151"/>
      <c r="T66" s="151"/>
      <c r="U66" s="151"/>
      <c r="AC66" s="146"/>
    </row>
    <row r="67" spans="2:29">
      <c r="B67" s="150"/>
      <c r="AC67" s="146"/>
    </row>
    <row r="68" spans="2:29" ht="15" customHeight="1">
      <c r="B68" s="169"/>
      <c r="K68" s="153"/>
      <c r="L68" s="153"/>
      <c r="M68" s="153"/>
      <c r="N68" s="153"/>
      <c r="O68" s="153"/>
      <c r="P68" s="153"/>
      <c r="Q68" s="153"/>
      <c r="R68" s="153"/>
      <c r="S68" s="153"/>
      <c r="T68" s="153"/>
      <c r="U68" s="153"/>
      <c r="AC68" s="146"/>
    </row>
    <row r="69" spans="2:29">
      <c r="B69" s="150"/>
      <c r="J69" s="153"/>
      <c r="K69" s="153"/>
      <c r="L69" s="153"/>
      <c r="M69" s="153"/>
      <c r="N69" s="153"/>
      <c r="O69" s="153"/>
      <c r="P69" s="153"/>
      <c r="Q69" s="153"/>
      <c r="R69" s="153"/>
      <c r="S69" s="153"/>
      <c r="T69" s="153"/>
      <c r="U69" s="153"/>
      <c r="AC69" s="146"/>
    </row>
    <row r="70" spans="2:29" ht="15" thickBot="1">
      <c r="B70" s="154"/>
      <c r="C70" s="155"/>
      <c r="D70" s="155"/>
      <c r="E70" s="155"/>
      <c r="F70" s="155"/>
      <c r="G70" s="155"/>
      <c r="H70" s="155"/>
      <c r="I70" s="155"/>
      <c r="J70" s="156"/>
      <c r="K70" s="156"/>
      <c r="L70" s="156"/>
      <c r="M70" s="156"/>
      <c r="N70" s="156"/>
      <c r="O70" s="156"/>
      <c r="P70" s="156"/>
      <c r="Q70" s="156"/>
      <c r="R70" s="156"/>
      <c r="S70" s="156"/>
      <c r="T70" s="156"/>
      <c r="U70" s="156"/>
      <c r="V70" s="155"/>
      <c r="W70" s="155"/>
      <c r="X70" s="155"/>
      <c r="Y70" s="155"/>
      <c r="Z70" s="155"/>
      <c r="AA70" s="155"/>
      <c r="AB70" s="155"/>
      <c r="AC70" s="148"/>
    </row>
  </sheetData>
  <sheetProtection algorithmName="SHA-512" hashValue="jQcGmZW/HvWLpD78L1LD1JxT/s0IBmR04mVe+2/GXRXTRH23hsDZVANlKXGxZR0Rkla25uIMB9gXhdkFp+VvRA==" saltValue="0tzfeNJQZVUAft1MyJkjmw==" spinCount="100000" sheet="1" objects="1" scenarios="1"/>
  <protectedRanges>
    <protectedRange sqref="L16:S19" name="InputData_1"/>
    <protectedRange sqref="U16:X19 C16:D16 D17 D18:H19 G16:H17 K16:K19" name="InputData"/>
    <protectedRange sqref="C17" name="InputData_2"/>
    <protectedRange sqref="C18" name="InputData_3"/>
    <protectedRange sqref="C19" name="InputData_4"/>
    <protectedRange sqref="E16:F17" name="InputData_5"/>
    <protectedRange sqref="I16:J19" name="InputData_6"/>
  </protectedRanges>
  <mergeCells count="82">
    <mergeCell ref="B60:H64"/>
    <mergeCell ref="AJ24:AJ25"/>
    <mergeCell ref="H35:I35"/>
    <mergeCell ref="H36:I36"/>
    <mergeCell ref="H37:I37"/>
    <mergeCell ref="H38:I38"/>
    <mergeCell ref="H39:I39"/>
    <mergeCell ref="M39:N39"/>
    <mergeCell ref="M38:N38"/>
    <mergeCell ref="M37:N37"/>
    <mergeCell ref="L32:N32"/>
    <mergeCell ref="K33:K34"/>
    <mergeCell ref="X38:Z38"/>
    <mergeCell ref="X39:Z39"/>
    <mergeCell ref="X33:Z33"/>
    <mergeCell ref="V38:W38"/>
    <mergeCell ref="B3:O4"/>
    <mergeCell ref="K13:U13"/>
    <mergeCell ref="K14:K15"/>
    <mergeCell ref="I13:I15"/>
    <mergeCell ref="J13:J15"/>
    <mergeCell ref="L14:L15"/>
    <mergeCell ref="M14:M15"/>
    <mergeCell ref="N14:N15"/>
    <mergeCell ref="O14:O15"/>
    <mergeCell ref="P14:P15"/>
    <mergeCell ref="Q14:Q15"/>
    <mergeCell ref="R14:R15"/>
    <mergeCell ref="B12:D12"/>
    <mergeCell ref="C14:C15"/>
    <mergeCell ref="F12:K12"/>
    <mergeCell ref="E14:E15"/>
    <mergeCell ref="V39:W39"/>
    <mergeCell ref="B48:H51"/>
    <mergeCell ref="B52:H55"/>
    <mergeCell ref="L33:L34"/>
    <mergeCell ref="H33:I34"/>
    <mergeCell ref="J33:J34"/>
    <mergeCell ref="X37:Z37"/>
    <mergeCell ref="M35:N35"/>
    <mergeCell ref="M36:N36"/>
    <mergeCell ref="V33:W33"/>
    <mergeCell ref="V34:W34"/>
    <mergeCell ref="V35:W35"/>
    <mergeCell ref="V36:W36"/>
    <mergeCell ref="V37:W37"/>
    <mergeCell ref="M33:N34"/>
    <mergeCell ref="X34:Z34"/>
    <mergeCell ref="X35:Z35"/>
    <mergeCell ref="X36:Z36"/>
    <mergeCell ref="D14:D15"/>
    <mergeCell ref="P32:Q32"/>
    <mergeCell ref="R32:S32"/>
    <mergeCell ref="S31:T31"/>
    <mergeCell ref="T32:U32"/>
    <mergeCell ref="B29:D29"/>
    <mergeCell ref="B30:U30"/>
    <mergeCell ref="B31:N31"/>
    <mergeCell ref="T14:T15"/>
    <mergeCell ref="D32:K32"/>
    <mergeCell ref="B56:H59"/>
    <mergeCell ref="B41:D41"/>
    <mergeCell ref="B45:H47"/>
    <mergeCell ref="B43:H44"/>
    <mergeCell ref="S42:AA44"/>
    <mergeCell ref="R41:AA41"/>
    <mergeCell ref="AP24:AP25"/>
    <mergeCell ref="AR24:AR25"/>
    <mergeCell ref="AS24:AS25"/>
    <mergeCell ref="AS14:AS15"/>
    <mergeCell ref="Q2:T2"/>
    <mergeCell ref="AL24:AL25"/>
    <mergeCell ref="AM24:AM25"/>
    <mergeCell ref="S14:S15"/>
    <mergeCell ref="Q3:T3"/>
    <mergeCell ref="C7:V7"/>
    <mergeCell ref="C8:V8"/>
    <mergeCell ref="C9:V9"/>
    <mergeCell ref="C10:V10"/>
    <mergeCell ref="F14:F15"/>
    <mergeCell ref="G14:G15"/>
    <mergeCell ref="H14:H15"/>
  </mergeCells>
  <conditionalFormatting sqref="Q21">
    <cfRule type="cellIs" dxfId="56" priority="19" operator="notBetween">
      <formula>-0.1</formula>
      <formula>0.1</formula>
    </cfRule>
  </conditionalFormatting>
  <conditionalFormatting sqref="T16:T20">
    <cfRule type="containsText" dxfId="55" priority="11" operator="containsText" text=" ">
      <formula>NOT(ISERROR(SEARCH(" ",T16)))</formula>
    </cfRule>
    <cfRule type="cellIs" dxfId="54" priority="20" operator="notBetween">
      <formula>-0.1</formula>
      <formula>0.1</formula>
    </cfRule>
  </conditionalFormatting>
  <conditionalFormatting sqref="F20">
    <cfRule type="expression" dxfId="53" priority="9">
      <formula>$AE$21=1</formula>
    </cfRule>
  </conditionalFormatting>
  <conditionalFormatting sqref="F12">
    <cfRule type="containsText" dxfId="52" priority="5" operator="containsText" text="Highlighted">
      <formula>NOT(ISERROR(SEARCH("Highlighted",F12)))</formula>
    </cfRule>
  </conditionalFormatting>
  <conditionalFormatting sqref="F18">
    <cfRule type="expression" dxfId="51" priority="4">
      <formula>$AE$17=1</formula>
    </cfRule>
  </conditionalFormatting>
  <conditionalFormatting sqref="F19">
    <cfRule type="expression" dxfId="50" priority="3">
      <formula>$AE$18=1</formula>
    </cfRule>
  </conditionalFormatting>
  <conditionalFormatting sqref="F16">
    <cfRule type="expression" dxfId="49" priority="2">
      <formula>$AE$17=1</formula>
    </cfRule>
  </conditionalFormatting>
  <conditionalFormatting sqref="F17">
    <cfRule type="expression" dxfId="48" priority="1">
      <formula>$AE$18=1</formula>
    </cfRule>
  </conditionalFormatting>
  <dataValidations count="5">
    <dataValidation allowBlank="1" showErrorMessage="1" promptTitle="HCO3 Unit" prompt="Please select the relevant HCO3 unit" sqref="R15" xr:uid="{00000000-0002-0000-0200-000000000000}"/>
    <dataValidation allowBlank="1" showErrorMessage="1" promptTitle="CO3 Unit" prompt="Please choose relevant CO3 unit" sqref="S15" xr:uid="{00000000-0002-0000-0200-000001000000}"/>
    <dataValidation allowBlank="1" showInputMessage="1" showErrorMessage="1" promptTitle="Data validation test" prompt="If cell below is highlighted red, please check your input data. Red cells indicate that one or more of the cation or anion values may not be correct as it falls outside acceptable limits." sqref="T14:T15" xr:uid="{00000000-0002-0000-0200-000002000000}"/>
    <dataValidation allowBlank="1" showInputMessage="1" showErrorMessage="1" promptTitle="Data Validation" prompt="If cell is highlighted red, please check your input data. Red cells indicate that one or more of the cation or anion values may not be correct as it falls outside acceptable limits." sqref="Q21 T16:T20" xr:uid="{00000000-0002-0000-0200-000003000000}"/>
    <dataValidation type="decimal" errorStyle="warning" operator="lessThanOrEqual" allowBlank="1" showErrorMessage="1" errorTitle="Very high pH value" error="A very high pH value has been entered which indicates the water sample is likely to have high sodium bicarbonate levels and will raise soil pH as well as increase SAR resulting in enhanced sodicity hazard." sqref="S21 V16:V20" xr:uid="{00000000-0002-0000-0200-000004000000}">
      <formula1>8.7</formula1>
    </dataValidation>
  </dataValidations>
  <hyperlinks>
    <hyperlink ref="Q2" location="'Front Page'!A1" display="Return to Front Page" xr:uid="{00000000-0004-0000-0200-000000000000}"/>
    <hyperlink ref="Q3:T3" location="'Abbreviations and Glossary'!A1" display="Link to Abbreviations and Glossary" xr:uid="{00000000-0004-0000-0200-000001000000}"/>
  </hyperlinks>
  <pageMargins left="0.23622047244094488" right="0.23622047244094488" top="0.23622047244094488" bottom="0.23622047244094488" header="0.31496062992125984" footer="0.31496062992125984"/>
  <pageSetup paperSize="9" scale="46"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Title="Invalid EC Unit Selected" error="Please choose an EC unit from the available list" promptTitle="EC Unit" prompt="Choose the appropriate available unit of EC" xr:uid="{00000000-0002-0000-0200-000005000000}">
          <x14:formula1>
            <xm:f>'Reference Lists&amp;Tables'!$A$5:$A$7</xm:f>
          </x14:formula1>
          <xm:sqref>D16:D20</xm:sqref>
        </x14:dataValidation>
        <x14:dataValidation type="list" allowBlank="1" showInputMessage="1" showErrorMessage="1" errorTitle="Invalid RA Unit" promptTitle="RA Unit" prompt="Please select the appropriate RA unit" xr:uid="{00000000-0002-0000-0200-000006000000}">
          <x14:formula1>
            <xm:f>'Reference Lists&amp;Tables'!$G$5:$G$6</xm:f>
          </x14:formula1>
          <xm:sqref>G16:G20</xm:sqref>
        </x14:dataValidation>
        <x14:dataValidation type="list" allowBlank="1" showInputMessage="1" showErrorMessage="1" promptTitle="Na unit" prompt="Please select relevant NA unit from the drop down list" xr:uid="{00000000-0002-0000-0200-000007000000}">
          <x14:formula1>
            <xm:f>'Reference Lists&amp;Tables'!$B$5:$B$8</xm:f>
          </x14:formula1>
          <xm:sqref>K16:K20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pageSetUpPr fitToPage="1"/>
  </sheetPr>
  <dimension ref="A1:GG363"/>
  <sheetViews>
    <sheetView topLeftCell="K1" zoomScale="91" zoomScaleNormal="91" zoomScalePageLayoutView="75" workbookViewId="0">
      <selection activeCell="C76" sqref="C76"/>
    </sheetView>
  </sheetViews>
  <sheetFormatPr defaultRowHeight="14.5"/>
  <cols>
    <col min="1" max="1" width="3.1796875" style="162" customWidth="1"/>
    <col min="2" max="2" width="9.81640625" customWidth="1"/>
    <col min="3" max="3" width="12" customWidth="1"/>
    <col min="4" max="4" width="7.81640625" customWidth="1"/>
    <col min="5" max="5" width="7.1796875" customWidth="1"/>
    <col min="6" max="6" width="8.36328125" customWidth="1"/>
    <col min="7" max="7" width="7" customWidth="1"/>
    <col min="8" max="8" width="8" customWidth="1"/>
    <col min="9" max="9" width="8.1796875" customWidth="1"/>
    <col min="10" max="10" width="8.1796875" style="31" customWidth="1"/>
    <col min="11" max="11" width="10.1796875" style="31" customWidth="1"/>
    <col min="12" max="12" width="10.08984375" style="31" customWidth="1"/>
    <col min="13" max="13" width="8.54296875" style="31" customWidth="1"/>
    <col min="14" max="14" width="10.453125" style="31" customWidth="1"/>
    <col min="15" max="16" width="7.81640625" style="31" customWidth="1"/>
    <col min="17" max="17" width="8.1796875" style="31" customWidth="1"/>
    <col min="18" max="18" width="11.54296875" customWidth="1"/>
    <col min="19" max="19" width="10.54296875" customWidth="1"/>
    <col min="20" max="20" width="12.81640625" customWidth="1"/>
    <col min="21" max="21" width="14.6328125" customWidth="1"/>
    <col min="22" max="22" width="11" customWidth="1"/>
    <col min="23" max="24" width="9.1796875" customWidth="1"/>
    <col min="25" max="25" width="9.1796875" hidden="1" customWidth="1"/>
    <col min="26" max="26" width="13.08984375" customWidth="1"/>
    <col min="27" max="27" width="7.81640625" customWidth="1"/>
    <col min="28" max="28" width="11.81640625" customWidth="1"/>
    <col min="29" max="29" width="14.90625" customWidth="1"/>
    <col min="30" max="30" width="9.1796875" customWidth="1"/>
    <col min="31" max="31" width="7.54296875" customWidth="1"/>
    <col min="32" max="34" width="9.1796875" customWidth="1"/>
    <col min="35" max="35" width="9.1796875" style="160" customWidth="1"/>
    <col min="36" max="36" width="10" style="160" customWidth="1"/>
    <col min="37" max="37" width="16.453125" style="160" customWidth="1"/>
    <col min="38" max="38" width="4" style="160" customWidth="1"/>
    <col min="39" max="39" width="9.1796875" style="160" hidden="1" customWidth="1"/>
    <col min="40" max="51" width="9.1796875" hidden="1" customWidth="1"/>
    <col min="52" max="52" width="10.81640625" hidden="1" customWidth="1"/>
    <col min="53" max="61" width="9.1796875" hidden="1" customWidth="1"/>
    <col min="62" max="63" width="12.54296875" hidden="1" customWidth="1"/>
    <col min="64" max="78" width="9.1796875" hidden="1" customWidth="1"/>
    <col min="79" max="79" width="0" hidden="1" customWidth="1"/>
    <col min="80" max="83" width="16.453125" hidden="1" customWidth="1"/>
    <col min="84" max="87" width="0" hidden="1" customWidth="1"/>
    <col min="88" max="91" width="0" style="755" hidden="1" customWidth="1"/>
    <col min="92" max="92" width="13.36328125" style="755" hidden="1" customWidth="1"/>
    <col min="93" max="99" width="11.1796875" style="755" hidden="1" customWidth="1"/>
    <col min="100" max="109" width="0" hidden="1" customWidth="1"/>
    <col min="110" max="110" width="12.90625" hidden="1" customWidth="1"/>
    <col min="111" max="111" width="12.54296875" hidden="1" customWidth="1"/>
    <col min="112" max="189" width="0" hidden="1" customWidth="1"/>
  </cols>
  <sheetData>
    <row r="1" spans="1:189" s="162" customFormat="1" ht="15" thickBot="1">
      <c r="C1" s="943" t="str">
        <f>'Front Page'!C1:D1</f>
        <v>Printed on</v>
      </c>
      <c r="D1" s="943"/>
      <c r="E1" s="944">
        <f ca="1">'Front Page'!E1:G1</f>
        <v>44610.35418101852</v>
      </c>
      <c r="F1" s="944"/>
      <c r="G1" s="944"/>
      <c r="H1" s="313"/>
    </row>
    <row r="2" spans="1:189" s="46" customFormat="1" ht="47">
      <c r="A2" s="162"/>
      <c r="B2" s="1114" t="s">
        <v>476</v>
      </c>
      <c r="C2" s="1115"/>
      <c r="D2" s="1115"/>
      <c r="E2" s="1115"/>
      <c r="F2" s="1115"/>
      <c r="G2" s="1115"/>
      <c r="H2" s="1115"/>
      <c r="I2" s="165"/>
      <c r="J2" s="747" t="str">
        <f>'Front Page'!C5</f>
        <v xml:space="preserve">Version Number </v>
      </c>
      <c r="K2" s="335"/>
      <c r="L2" s="335"/>
      <c r="M2" s="748" t="str">
        <f>'Front Page'!E5</f>
        <v xml:space="preserve">2.2.2a </v>
      </c>
      <c r="N2" s="187"/>
      <c r="O2" s="335" t="str">
        <f>'Front Page'!F5</f>
        <v xml:space="preserve">    11 February 2022</v>
      </c>
      <c r="P2" s="165"/>
      <c r="Q2" s="165"/>
      <c r="R2" s="165"/>
      <c r="S2" s="165"/>
      <c r="T2" s="165"/>
      <c r="U2" s="197" t="s">
        <v>654</v>
      </c>
      <c r="V2" s="187"/>
      <c r="W2" s="187"/>
      <c r="X2" s="1137" t="s">
        <v>911</v>
      </c>
      <c r="Y2" s="1138"/>
      <c r="Z2" s="1138"/>
      <c r="AA2" s="1138"/>
      <c r="AB2" s="165"/>
      <c r="AC2" s="165"/>
      <c r="AD2" s="165"/>
      <c r="AE2" s="165"/>
      <c r="AF2" s="165"/>
      <c r="AG2" s="165"/>
      <c r="AH2" s="165"/>
      <c r="AI2" s="165"/>
      <c r="AJ2" s="165"/>
      <c r="AK2" s="166"/>
      <c r="AL2" s="161"/>
      <c r="AM2" s="161"/>
      <c r="AN2" s="59"/>
      <c r="AO2" s="59"/>
      <c r="AP2" s="59"/>
      <c r="AQ2" s="59"/>
      <c r="AR2" s="63" t="s">
        <v>529</v>
      </c>
      <c r="AS2" s="209" t="s">
        <v>483</v>
      </c>
      <c r="AT2" s="209"/>
      <c r="AU2" s="209"/>
      <c r="AV2" s="209"/>
      <c r="AW2" s="280" t="s">
        <v>549</v>
      </c>
      <c r="AX2" s="280" t="s">
        <v>470</v>
      </c>
      <c r="AY2" s="280" t="s">
        <v>59</v>
      </c>
      <c r="AZ2" s="280" t="s">
        <v>606</v>
      </c>
      <c r="BA2" s="280" t="s">
        <v>605</v>
      </c>
      <c r="BB2" s="280" t="s">
        <v>60</v>
      </c>
      <c r="BC2" s="312" t="s">
        <v>505</v>
      </c>
      <c r="BD2" s="312" t="s">
        <v>506</v>
      </c>
      <c r="BE2" s="423" t="s">
        <v>9</v>
      </c>
      <c r="BF2" s="423" t="s">
        <v>61</v>
      </c>
      <c r="BG2" s="423" t="s">
        <v>62</v>
      </c>
      <c r="BH2" s="423" t="s">
        <v>7</v>
      </c>
      <c r="BI2" s="423" t="s">
        <v>64</v>
      </c>
      <c r="BJ2" s="423" t="s">
        <v>65</v>
      </c>
      <c r="BK2" s="51" t="s">
        <v>534</v>
      </c>
      <c r="BL2" s="88" t="s">
        <v>602</v>
      </c>
      <c r="BM2" s="84" t="s">
        <v>609</v>
      </c>
      <c r="BN2" s="754" t="s">
        <v>1648</v>
      </c>
      <c r="BO2" s="59">
        <v>1E-3</v>
      </c>
      <c r="BP2" s="59">
        <v>5.0000000000000001E-3</v>
      </c>
      <c r="BQ2" s="59"/>
      <c r="BR2" s="59"/>
      <c r="CJ2" s="755"/>
      <c r="CK2" s="755"/>
      <c r="CL2" s="755"/>
      <c r="CM2" s="755"/>
      <c r="CN2" s="755"/>
      <c r="CO2" s="755"/>
      <c r="CP2" s="755"/>
      <c r="CQ2" s="755"/>
      <c r="CR2" s="755"/>
      <c r="CS2" s="755"/>
      <c r="CT2" s="755"/>
      <c r="CU2" s="755"/>
    </row>
    <row r="3" spans="1:189" s="46" customFormat="1" ht="23.25" customHeight="1">
      <c r="A3" s="162"/>
      <c r="B3" s="400" t="s">
        <v>909</v>
      </c>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8"/>
      <c r="AL3" s="161"/>
      <c r="AM3" s="161"/>
      <c r="AN3" s="59" t="s">
        <v>477</v>
      </c>
      <c r="AO3" s="59" t="s">
        <v>503</v>
      </c>
      <c r="AP3" s="59" t="s">
        <v>504</v>
      </c>
      <c r="AQ3" s="59"/>
      <c r="AR3" s="407">
        <v>1</v>
      </c>
      <c r="AS3" s="133" t="str">
        <f>'Quick Calculator'!C35</f>
        <v>Yelarbon bore</v>
      </c>
      <c r="AT3" s="133"/>
      <c r="AU3" s="133"/>
      <c r="AV3" s="133"/>
      <c r="AW3" s="565">
        <f>IF(ISNUMBER('Quick Calculator'!AF26),'Quick Calculator'!AF26,"")</f>
        <v>1.107</v>
      </c>
      <c r="AX3" s="565">
        <f>IF(ISNUMBER('Quick Calculator'!AG26),'Quick Calculator'!AG26,"")</f>
        <v>0.41354700854700854</v>
      </c>
      <c r="AY3" s="565">
        <f>IF(ISNUMBER('Quick Calculator'!AH26),'Quick Calculator'!AH26,"")</f>
        <v>19</v>
      </c>
      <c r="AZ3" s="565">
        <f>IF(ISNUMBER('Quick Calculator'!AJ26),'Quick Calculator'!AJ26,"")</f>
        <v>20.586009418626617</v>
      </c>
      <c r="BA3" s="565">
        <f>IF(ISNUMBER('Quick Calculator'!AK26),'Quick Calculator'!AK26,"")</f>
        <v>24.403675819467587</v>
      </c>
      <c r="BB3" s="565">
        <f>IF(ISNUMBER('Quick Calculator'!AI26),'Quick Calculator'!AI26,"")</f>
        <v>0</v>
      </c>
      <c r="BC3" s="565">
        <f>IF(ISNUMBER('Quick Calculator'!I16),'Quick Calculator'!I16,"")</f>
        <v>904</v>
      </c>
      <c r="BD3" s="565">
        <f>IF(ISNUMBER('Quick Calculator'!J16),'Quick Calculator'!J16,"")</f>
        <v>500</v>
      </c>
      <c r="BE3" s="565">
        <f>IF(ISNUMBER('Quick Calculator'!I24),'Quick Calculator'!I24,"")</f>
        <v>14</v>
      </c>
      <c r="BF3" s="565">
        <f>IF(ISNUMBER('Quick Calculator'!J24),'Quick Calculator'!J24,"")</f>
        <v>0.85</v>
      </c>
      <c r="BG3" s="565">
        <f>IF(ISNUMBER('Quick Calculator'!K24),'Quick Calculator'!K24,"")</f>
        <v>0.15</v>
      </c>
      <c r="BH3" s="565">
        <f>IF(ISNUMBER('Quick Calculator'!M24),'Quick Calculator'!M24,"")</f>
        <v>1.97</v>
      </c>
      <c r="BI3" s="565">
        <f>IF(ISNUMBER('Quick Calculator'!N24),'Quick Calculator'!N24,"")</f>
        <v>0.85</v>
      </c>
      <c r="BJ3" s="565">
        <f>IF(ISNUMBER('Quick Calculator'!O24),'Quick Calculator'!O24,"")</f>
        <v>7.6</v>
      </c>
      <c r="BK3" s="36">
        <f>'Quick Calculator'!AL26</f>
        <v>21.113872125586717</v>
      </c>
      <c r="BL3" s="36">
        <f>'Quick Calculator'!AM26</f>
        <v>25.780467646127843</v>
      </c>
      <c r="BM3" s="59">
        <f>'Quick Calculator'!T24</f>
        <v>0.50822681803651792</v>
      </c>
      <c r="BN3" s="59">
        <f>'Quick Calculator'!S24</f>
        <v>0.45666352645274816</v>
      </c>
      <c r="BO3" s="59">
        <f>(2*10^BN3)*(0.001)^(1/3)</f>
        <v>0.57239195634251394</v>
      </c>
      <c r="BP3" s="59">
        <f>(2*10^BN3)*(0.005)^(1/3)</f>
        <v>0.97877647741691687</v>
      </c>
      <c r="BQ3" s="59"/>
      <c r="BR3" s="59"/>
      <c r="CJ3" s="755"/>
      <c r="CK3" s="755"/>
      <c r="CL3" s="755"/>
      <c r="CM3" s="755"/>
      <c r="CN3" s="755"/>
      <c r="CO3" s="755"/>
      <c r="CP3" s="755"/>
      <c r="CQ3" s="755"/>
      <c r="CR3" s="755"/>
      <c r="CS3" s="755"/>
      <c r="CT3" s="755"/>
      <c r="CU3" s="755"/>
    </row>
    <row r="4" spans="1:189" s="46" customFormat="1" ht="19.5" customHeight="1">
      <c r="A4" s="162"/>
      <c r="B4" s="1130" t="s">
        <v>1513</v>
      </c>
      <c r="C4" s="1131"/>
      <c r="D4" s="1131"/>
      <c r="E4" s="1131"/>
      <c r="F4" s="659">
        <f>COUNTA(F8:F12)</f>
        <v>1</v>
      </c>
      <c r="G4" s="659">
        <f>COUNTA(G8:G12)</f>
        <v>1</v>
      </c>
      <c r="H4" s="659">
        <f>COUNTA(H8:H12)</f>
        <v>1</v>
      </c>
      <c r="I4" s="162"/>
      <c r="J4" s="402" t="s">
        <v>913</v>
      </c>
      <c r="K4" s="189" t="str">
        <f>IF(AH4=2,"Data is required to be input into the Quick Calculator before further results can be calculated","")</f>
        <v/>
      </c>
      <c r="L4" s="161"/>
      <c r="M4" s="161"/>
      <c r="N4" s="161"/>
      <c r="O4" s="161"/>
      <c r="P4" s="161"/>
      <c r="Q4" s="161"/>
      <c r="R4" s="161"/>
      <c r="S4" s="161"/>
      <c r="T4" s="161"/>
      <c r="U4" s="161"/>
      <c r="V4" s="161"/>
      <c r="W4" s="161"/>
      <c r="X4" s="161"/>
      <c r="Y4" s="765" t="s">
        <v>1637</v>
      </c>
      <c r="Z4" s="161"/>
      <c r="AA4" s="161"/>
      <c r="AB4" s="161"/>
      <c r="AC4" s="161"/>
      <c r="AD4" s="161"/>
      <c r="AE4" s="161"/>
      <c r="AF4" s="161"/>
      <c r="AG4" s="161"/>
      <c r="AH4" s="161"/>
      <c r="AI4" s="161"/>
      <c r="AJ4" s="161"/>
      <c r="AK4" s="168"/>
      <c r="AL4" s="161"/>
      <c r="AM4" s="161"/>
      <c r="AN4" s="59" t="b">
        <f t="shared" ref="AN4:AP8" si="0">IF(ISTEXT(F8),TRUE,FALSE)</f>
        <v>0</v>
      </c>
      <c r="AO4" s="59" t="b">
        <f t="shared" si="0"/>
        <v>1</v>
      </c>
      <c r="AP4" s="59" t="b">
        <f t="shared" si="0"/>
        <v>0</v>
      </c>
      <c r="AQ4" s="59"/>
      <c r="AR4" s="407">
        <v>2</v>
      </c>
      <c r="AS4" s="133" t="str">
        <f>'Quick Calculator'!C36</f>
        <v>Burd 12001253  11/93</v>
      </c>
      <c r="AT4" s="133"/>
      <c r="AU4" s="133"/>
      <c r="AV4" s="133"/>
      <c r="AW4" s="565">
        <f>IF(ISNUMBER('Quick Calculator'!AF27),'Quick Calculator'!AF27,"")</f>
        <v>1.35</v>
      </c>
      <c r="AX4" s="565">
        <f>IF(ISNUMBER('Quick Calculator'!AG27),'Quick Calculator'!AG27,"")</f>
        <v>0.69</v>
      </c>
      <c r="AY4" s="565">
        <f>IF(ISNUMBER('Quick Calculator'!AH27),'Quick Calculator'!AH27,"")</f>
        <v>6.5</v>
      </c>
      <c r="AZ4" s="565">
        <f>IF(ISNUMBER('Quick Calculator'!AJ27),'Quick Calculator'!AJ27,"")</f>
        <v>12.330414852501217</v>
      </c>
      <c r="BA4" s="565">
        <f>IF(ISNUMBER('Quick Calculator'!AK27),'Quick Calculator'!AK27,"")</f>
        <v>7.3363213584430929</v>
      </c>
      <c r="BB4" s="565">
        <f>IF(ISNUMBER('Quick Calculator'!AI27),'Quick Calculator'!AI27,"")</f>
        <v>2.31</v>
      </c>
      <c r="BC4" s="565">
        <f>IF(ISNUMBER('Quick Calculator'!I17),'Quick Calculator'!I17,"")</f>
        <v>950</v>
      </c>
      <c r="BD4" s="565">
        <f>IF(ISNUMBER('Quick Calculator'!J17),'Quick Calculator'!J17,"")</f>
        <v>950</v>
      </c>
      <c r="BE4" s="565">
        <f>IF(ISNUMBER('Quick Calculator'!I25),'Quick Calculator'!I25,"")</f>
        <v>9.35</v>
      </c>
      <c r="BF4" s="565">
        <f>IF(ISNUMBER('Quick Calculator'!J25),'Quick Calculator'!J25,"")</f>
        <v>1.83</v>
      </c>
      <c r="BG4" s="565">
        <f>IF(ISNUMBER('Quick Calculator'!K25),'Quick Calculator'!K25,"")</f>
        <v>2.2999999999999998</v>
      </c>
      <c r="BH4" s="565">
        <f>IF(ISNUMBER('Quick Calculator'!M25),'Quick Calculator'!M25,"")</f>
        <v>6.47</v>
      </c>
      <c r="BI4" s="565">
        <f>IF(ISNUMBER('Quick Calculator'!N25),'Quick Calculator'!N25,"")</f>
        <v>0.55000000000000004</v>
      </c>
      <c r="BJ4" s="565">
        <f>IF(ISNUMBER('Quick Calculator'!O25),'Quick Calculator'!O25,"")</f>
        <v>6.31</v>
      </c>
      <c r="BK4" s="36">
        <f>'Quick Calculator'!AL27</f>
        <v>7.6873370104544083</v>
      </c>
      <c r="BL4" s="36">
        <f>'Quick Calculator'!AM27</f>
        <v>8.7267070815501153</v>
      </c>
      <c r="BM4" s="59">
        <f>'Quick Calculator'!T25</f>
        <v>0.94860212301099522</v>
      </c>
      <c r="BN4" s="59">
        <f>'Quick Calculator'!S25</f>
        <v>0.72769004063369869</v>
      </c>
      <c r="BO4" s="59">
        <f>(2*10^BN4)*(0.001)^(1/3)</f>
        <v>1.0683659455017407</v>
      </c>
      <c r="BP4" s="59">
        <f>(2*10^BN4)*(0.005)^(1/3)</f>
        <v>1.8268800690564833</v>
      </c>
      <c r="BQ4" s="59"/>
      <c r="BR4" s="59"/>
      <c r="CJ4" s="755"/>
      <c r="CK4" s="755"/>
      <c r="CL4" s="755"/>
      <c r="CM4" s="755"/>
      <c r="CN4" s="755"/>
      <c r="CO4" s="755"/>
      <c r="CP4" s="755"/>
      <c r="CQ4" s="755"/>
      <c r="CR4" s="755"/>
      <c r="CS4" s="755"/>
      <c r="CT4" s="755"/>
      <c r="CU4" s="755"/>
    </row>
    <row r="5" spans="1:189" s="46" customFormat="1" ht="24.75" customHeight="1">
      <c r="A5" s="162"/>
      <c r="B5" s="1118" t="s">
        <v>1437</v>
      </c>
      <c r="C5" s="1119"/>
      <c r="D5" s="1119"/>
      <c r="E5" s="1119"/>
      <c r="F5" s="1119"/>
      <c r="G5" s="1119"/>
      <c r="H5" s="1120"/>
      <c r="I5" s="567">
        <v>1</v>
      </c>
      <c r="J5" s="880" t="s">
        <v>930</v>
      </c>
      <c r="K5" s="880"/>
      <c r="L5" s="880"/>
      <c r="M5" s="880"/>
      <c r="N5" s="880"/>
      <c r="O5" s="880"/>
      <c r="P5" s="880"/>
      <c r="Q5" s="880"/>
      <c r="R5" s="880"/>
      <c r="S5" s="162" t="s">
        <v>753</v>
      </c>
      <c r="T5" s="162"/>
      <c r="U5" s="162"/>
      <c r="V5" s="162"/>
      <c r="W5" s="162"/>
      <c r="X5" s="162"/>
      <c r="Y5" s="162"/>
      <c r="Z5" s="162"/>
      <c r="AA5" s="162"/>
      <c r="AB5" s="161"/>
      <c r="AC5" s="161"/>
      <c r="AD5" s="161"/>
      <c r="AE5" s="161"/>
      <c r="AF5" s="161"/>
      <c r="AG5" s="161"/>
      <c r="AH5" s="161"/>
      <c r="AI5" s="161"/>
      <c r="AJ5" s="161"/>
      <c r="AK5" s="168"/>
      <c r="AL5" s="161"/>
      <c r="AM5" s="161"/>
      <c r="AN5" s="59" t="b">
        <f t="shared" si="0"/>
        <v>0</v>
      </c>
      <c r="AO5" s="59" t="b">
        <f t="shared" si="0"/>
        <v>0</v>
      </c>
      <c r="AP5" s="59" t="b">
        <f t="shared" si="0"/>
        <v>0</v>
      </c>
      <c r="AQ5" s="59"/>
      <c r="AR5" s="407">
        <v>3</v>
      </c>
      <c r="AS5" s="133">
        <f>'Quick Calculator'!C37</f>
        <v>14310218</v>
      </c>
      <c r="AT5" s="133"/>
      <c r="AU5" s="133"/>
      <c r="AV5" s="133"/>
      <c r="AW5" s="565">
        <f>IF(ISNUMBER('Quick Calculator'!AF28),'Quick Calculator'!AF28,"")</f>
        <v>5.6</v>
      </c>
      <c r="AX5" s="565">
        <f>IF(ISNUMBER('Quick Calculator'!AG28),'Quick Calculator'!AG28,"")</f>
        <v>2.0136182336182333</v>
      </c>
      <c r="AY5" s="565">
        <f>IF(ISNUMBER('Quick Calculator'!AH28),'Quick Calculator'!AH28,"")</f>
        <v>26</v>
      </c>
      <c r="AZ5" s="565">
        <f>IF(ISNUMBER('Quick Calculator'!AJ28),'Quick Calculator'!AJ28,"")</f>
        <v>50.517909740461889</v>
      </c>
      <c r="BA5" s="565">
        <f>IF(ISNUMBER('Quick Calculator'!AK28),'Quick Calculator'!AK28,"")</f>
        <v>31.576723317281619</v>
      </c>
      <c r="BB5" s="565">
        <f>IF(ISNUMBER('Quick Calculator'!AI28),'Quick Calculator'!AI28,"")</f>
        <v>7.5</v>
      </c>
      <c r="BC5" s="565">
        <f>IF(ISNUMBER('Quick Calculator'!I18),'Quick Calculator'!I18,"")</f>
        <v>904</v>
      </c>
      <c r="BD5" s="565">
        <f>IF(ISNUMBER('Quick Calculator'!J18),'Quick Calculator'!J18,"")</f>
        <v>500</v>
      </c>
      <c r="BE5" s="565">
        <f>IF(ISNUMBER('Quick Calculator'!I26),'Quick Calculator'!I26,"")</f>
        <v>47.39</v>
      </c>
      <c r="BF5" s="565">
        <f>IF(ISNUMBER('Quick Calculator'!J26),'Quick Calculator'!J26,"")</f>
        <v>3.3</v>
      </c>
      <c r="BG5" s="565">
        <f>IF(ISNUMBER('Quick Calculator'!K26),'Quick Calculator'!K26,"")</f>
        <v>3.52</v>
      </c>
      <c r="BH5" s="565">
        <f>IF(ISNUMBER('Quick Calculator'!M26),'Quick Calculator'!M26,"")</f>
        <v>40.85</v>
      </c>
      <c r="BI5" s="565">
        <f>IF(ISNUMBER('Quick Calculator'!N26),'Quick Calculator'!N26,"")</f>
        <v>0.98</v>
      </c>
      <c r="BJ5" s="565">
        <f>IF(ISNUMBER('Quick Calculator'!O26),'Quick Calculator'!O26,"")</f>
        <v>13.85</v>
      </c>
      <c r="BK5" s="36">
        <f>'Quick Calculator'!AL28</f>
        <v>27.055219199066304</v>
      </c>
      <c r="BL5" s="36">
        <f>'Quick Calculator'!AM28</f>
        <v>31.184295445831442</v>
      </c>
      <c r="BM5" s="59">
        <f>'Quick Calculator'!T26</f>
        <v>0.98473543313637291</v>
      </c>
      <c r="BN5" s="59">
        <f>'Quick Calculator'!S26</f>
        <v>0.74392551350257019</v>
      </c>
      <c r="BO5" s="59">
        <f>(2*10^BN5)*(0.001)^(1/3)</f>
        <v>1.1090611928554714</v>
      </c>
      <c r="BP5" s="59">
        <f>(2*10^BN5)*(0.005)^(1/3)</f>
        <v>1.8964679631754218</v>
      </c>
      <c r="BQ5" s="59"/>
      <c r="BR5" s="59"/>
      <c r="CJ5" s="755"/>
      <c r="CK5" s="755"/>
      <c r="CL5" s="755"/>
      <c r="CM5" s="755"/>
      <c r="CN5" s="755"/>
      <c r="CO5" s="755"/>
      <c r="CP5" s="755"/>
      <c r="CQ5" s="755"/>
      <c r="CR5" s="755"/>
      <c r="CS5" s="755"/>
      <c r="CT5" s="755"/>
      <c r="CU5" s="755"/>
    </row>
    <row r="6" spans="1:189" s="46" customFormat="1" ht="30" customHeight="1">
      <c r="A6" s="162"/>
      <c r="B6" s="1121"/>
      <c r="C6" s="1122"/>
      <c r="D6" s="1122"/>
      <c r="E6" s="1122"/>
      <c r="F6" s="1122"/>
      <c r="G6" s="1122"/>
      <c r="H6" s="1123"/>
      <c r="I6" s="1134">
        <v>2</v>
      </c>
      <c r="J6" s="1136" t="s">
        <v>1094</v>
      </c>
      <c r="K6" s="1136"/>
      <c r="L6" s="1136"/>
      <c r="M6" s="1136"/>
      <c r="N6" s="1136"/>
      <c r="O6" s="1136"/>
      <c r="P6" s="1136"/>
      <c r="Q6" s="1136"/>
      <c r="R6" s="1145"/>
      <c r="S6" s="235" t="s">
        <v>608</v>
      </c>
      <c r="T6" s="1143" t="s">
        <v>607</v>
      </c>
      <c r="U6" s="1144"/>
      <c r="V6" s="236" t="s">
        <v>549</v>
      </c>
      <c r="W6" s="236" t="s">
        <v>470</v>
      </c>
      <c r="X6" s="236" t="s">
        <v>59</v>
      </c>
      <c r="Y6" s="761" t="s">
        <v>606</v>
      </c>
      <c r="Z6" s="763" t="s">
        <v>605</v>
      </c>
      <c r="AA6" s="236" t="s">
        <v>60</v>
      </c>
      <c r="AB6" s="330" t="s">
        <v>968</v>
      </c>
      <c r="AC6" s="330" t="s">
        <v>969</v>
      </c>
      <c r="AD6" s="236" t="s">
        <v>61</v>
      </c>
      <c r="AE6" s="236" t="s">
        <v>62</v>
      </c>
      <c r="AF6" s="236" t="s">
        <v>9</v>
      </c>
      <c r="AG6" s="236" t="s">
        <v>65</v>
      </c>
      <c r="AH6" s="236" t="s">
        <v>7</v>
      </c>
      <c r="AI6" s="236" t="s">
        <v>64</v>
      </c>
      <c r="AJ6" s="330" t="s">
        <v>931</v>
      </c>
      <c r="AK6" s="405" t="s">
        <v>602</v>
      </c>
      <c r="AL6" s="161"/>
      <c r="AM6" s="161"/>
      <c r="AN6" s="59" t="b">
        <f t="shared" si="0"/>
        <v>0</v>
      </c>
      <c r="AO6" s="59" t="b">
        <f t="shared" si="0"/>
        <v>0</v>
      </c>
      <c r="AP6" s="59" t="b">
        <f t="shared" si="0"/>
        <v>1</v>
      </c>
      <c r="AQ6" s="59"/>
      <c r="AR6" s="407">
        <v>4</v>
      </c>
      <c r="AS6" s="133" t="str">
        <f>'Quick Calculator'!C38</f>
        <v>Tenthill 14320222</v>
      </c>
      <c r="AT6" s="133"/>
      <c r="AU6" s="133"/>
      <c r="AV6" s="133"/>
      <c r="AW6" s="565">
        <f>IF(ISNUMBER('Quick Calculator'!AF29),'Quick Calculator'!AF29,"")</f>
        <v>3.1</v>
      </c>
      <c r="AX6" s="565">
        <f>IF(ISNUMBER('Quick Calculator'!AG29),'Quick Calculator'!AG29,"")</f>
        <v>1.1352</v>
      </c>
      <c r="AY6" s="565">
        <f>IF(ISNUMBER('Quick Calculator'!AH29),'Quick Calculator'!AH29,"")</f>
        <v>2</v>
      </c>
      <c r="AZ6" s="565">
        <f>IF(ISNUMBER('Quick Calculator'!AJ29),'Quick Calculator'!AJ29,"")</f>
        <v>2.5742947058089105</v>
      </c>
      <c r="BA6" s="565">
        <f>IF(ISNUMBER('Quick Calculator'!AK29),'Quick Calculator'!AK29,"")</f>
        <v>2.2510196371999172</v>
      </c>
      <c r="BB6" s="565">
        <f>IF(ISNUMBER('Quick Calculator'!AI29),'Quick Calculator'!AI29,"")</f>
        <v>0</v>
      </c>
      <c r="BC6" s="565">
        <f>IF(ISNUMBER('Quick Calculator'!I19),'Quick Calculator'!I19,"")</f>
        <v>800</v>
      </c>
      <c r="BD6" s="565">
        <f>IF(ISNUMBER('Quick Calculator'!J19),'Quick Calculator'!J19,"")</f>
        <v>450</v>
      </c>
      <c r="BE6" s="565">
        <f>IF(ISNUMBER('Quick Calculator'!I27),'Quick Calculator'!I27,"")</f>
        <v>7.17</v>
      </c>
      <c r="BF6" s="565">
        <f>IF(ISNUMBER('Quick Calculator'!J27),'Quick Calculator'!J27,"")</f>
        <v>6.5</v>
      </c>
      <c r="BG6" s="565">
        <f>IF(ISNUMBER('Quick Calculator'!K27),'Quick Calculator'!K27,"")</f>
        <v>18.03</v>
      </c>
      <c r="BH6" s="565">
        <f>IF(ISNUMBER('Quick Calculator'!M27),'Quick Calculator'!M27,"")</f>
        <v>23.66</v>
      </c>
      <c r="BI6" s="565">
        <f>IF(ISNUMBER('Quick Calculator'!N27),'Quick Calculator'!N27,"")</f>
        <v>0.05</v>
      </c>
      <c r="BJ6" s="565">
        <f>IF(ISNUMBER('Quick Calculator'!O27),'Quick Calculator'!O27,"")</f>
        <v>7.05</v>
      </c>
      <c r="BK6" s="36">
        <f>'Quick Calculator'!AL29</f>
        <v>1.6619136591601928</v>
      </c>
      <c r="BL6" s="36">
        <f>'Quick Calculator'!AM29</f>
        <v>2.018664352509878</v>
      </c>
      <c r="BM6" s="59">
        <f>'Quick Calculator'!T27</f>
        <v>2.2612938257514497</v>
      </c>
      <c r="BN6" s="59">
        <f>'Quick Calculator'!S27</f>
        <v>1.104962945284653</v>
      </c>
      <c r="BO6" s="59">
        <f>(2*10^BN6)*(0.001)^(1/3)</f>
        <v>2.5467888565733192</v>
      </c>
      <c r="BP6" s="59">
        <f>(2*10^BN6)*(0.005)^(1/3)</f>
        <v>4.3549476860046239</v>
      </c>
      <c r="BQ6" s="59"/>
      <c r="BR6" s="59"/>
      <c r="BS6" s="56" t="s">
        <v>508</v>
      </c>
      <c r="BT6" s="56" t="s">
        <v>509</v>
      </c>
      <c r="BU6" s="56" t="s">
        <v>510</v>
      </c>
      <c r="BV6" s="56" t="s">
        <v>511</v>
      </c>
      <c r="BW6" s="56" t="s">
        <v>512</v>
      </c>
      <c r="CA6"/>
      <c r="CC6"/>
      <c r="CD6"/>
      <c r="CE6"/>
      <c r="CF6"/>
      <c r="CG6"/>
      <c r="CH6"/>
      <c r="CI6"/>
      <c r="CJ6" s="755"/>
      <c r="CK6" s="755"/>
      <c r="CL6" s="755"/>
      <c r="CM6" s="755"/>
      <c r="CN6" s="755"/>
      <c r="CO6" s="755"/>
      <c r="CP6" s="755"/>
      <c r="CQ6" s="755"/>
      <c r="CR6" s="755"/>
      <c r="CS6" s="755"/>
      <c r="CT6" s="755"/>
      <c r="CU6" s="755"/>
    </row>
    <row r="7" spans="1:189" s="46" customFormat="1" ht="15.75" customHeight="1">
      <c r="A7" s="162"/>
      <c r="B7" s="277" t="s">
        <v>71</v>
      </c>
      <c r="C7" s="1113" t="s">
        <v>607</v>
      </c>
      <c r="D7" s="1113"/>
      <c r="E7" s="1113"/>
      <c r="F7" s="280" t="s">
        <v>576</v>
      </c>
      <c r="G7" s="280" t="s">
        <v>577</v>
      </c>
      <c r="H7" s="281" t="s">
        <v>578</v>
      </c>
      <c r="I7" s="1134"/>
      <c r="J7" s="1136"/>
      <c r="K7" s="1136"/>
      <c r="L7" s="1136"/>
      <c r="M7" s="1136"/>
      <c r="N7" s="1136"/>
      <c r="O7" s="1136"/>
      <c r="P7" s="1136"/>
      <c r="Q7" s="1136"/>
      <c r="R7" s="1145"/>
      <c r="S7" s="164">
        <v>1</v>
      </c>
      <c r="T7" s="1141" t="str">
        <f>IF($AN11=1,AS$3,IF($AN11=2,AS$4,IF($AN11=3,AS$5,IF($AN11=4,AS$6,IF($AN11=5,AS$7,"")))))</f>
        <v>Tenthill 14320222</v>
      </c>
      <c r="U7" s="1142"/>
      <c r="V7" s="179">
        <f t="shared" ref="V7:AC7" si="1">IF($AN11=1,AW3,IF($AN11=2,AW4,IF($AN11=3,AW5,IF($AN11=4,AW6,IF($AN11=5,AW7,"")))))</f>
        <v>3.1</v>
      </c>
      <c r="W7" s="179">
        <f t="shared" si="1"/>
        <v>1.1352</v>
      </c>
      <c r="X7" s="180">
        <f t="shared" si="1"/>
        <v>2</v>
      </c>
      <c r="Y7" s="762">
        <f t="shared" si="1"/>
        <v>2.5742947058089105</v>
      </c>
      <c r="Z7" s="764">
        <f>IF($AN11=1,BA3,IF($AN11=2,BA4,IF($AN11=3,BA5,IF($AN11=4,BA6,IF($AN11=5,BA7,"")))))</f>
        <v>2.2510196371999172</v>
      </c>
      <c r="AA7" s="164">
        <f t="shared" si="1"/>
        <v>0</v>
      </c>
      <c r="AB7" s="164">
        <f t="shared" si="1"/>
        <v>800</v>
      </c>
      <c r="AC7" s="164">
        <f t="shared" si="1"/>
        <v>450</v>
      </c>
      <c r="AD7" s="179">
        <f>IF($AN11=1,BF3,IF($AN11=2,BF4,IF($AN11=3,BF5,IF($AN11=4,BF6,IF($AN11=5,BF7,"")))))</f>
        <v>6.5</v>
      </c>
      <c r="AE7" s="179">
        <f>IF($AN11=1,BG3,IF($AN11=2,BG4,IF($AN11=3,BG5,IF($AN11=4,BG6,IF($AN11=5,BG7,"")))))</f>
        <v>18.03</v>
      </c>
      <c r="AF7" s="179">
        <f>IF($AN11=1,BE3,IF($AN11=2,BE4,IF($AN11=3,BE5,IF($AN11=4,BE6,IF($AN11=5,BE7,"")))))</f>
        <v>7.17</v>
      </c>
      <c r="AG7" s="179">
        <f>IF($AN11=1,BJ3,IF($AN11=2,BJ4,IF($AN11=3,BJ5,IF($AN11=4,BJ6,IF($AN11=5,BJ7,"")))))</f>
        <v>7.05</v>
      </c>
      <c r="AH7" s="179">
        <f>IF($AN11=1,BH3,IF($AN11=2,BH4,IF($AN11=3,BH5,IF($AN11=4,BH6,IF($AN11=5,BH7,"")))))</f>
        <v>23.66</v>
      </c>
      <c r="AI7" s="179">
        <f>IF($AN11=1,BI4,IF($AN11=2,BI3,IF($AN11=3,BI5,IF($AN11=4,BI6,IF($AN11=5,BI7,"")))))</f>
        <v>0.05</v>
      </c>
      <c r="AJ7" s="179">
        <f>IF($AN11=1,BK3,IF($AN11=2,BK4,IF($AN11=3,BK5,IF($AN11=4,BK6,IF($AN11=5,BK7,"")))))</f>
        <v>1.6619136591601928</v>
      </c>
      <c r="AK7" s="406">
        <f>IF($AN11=1,BL3,IF($AN11=2,BL4,IF($AN11=3,BL5,IF($AN11=4,BL6,IF($AN11=5,BL7,"")))))</f>
        <v>2.018664352509878</v>
      </c>
      <c r="AL7" s="161"/>
      <c r="AM7" s="161"/>
      <c r="AN7" s="59" t="b">
        <f t="shared" si="0"/>
        <v>1</v>
      </c>
      <c r="AO7" s="59" t="b">
        <f t="shared" si="0"/>
        <v>0</v>
      </c>
      <c r="AP7" s="59" t="b">
        <f t="shared" si="0"/>
        <v>0</v>
      </c>
      <c r="AQ7" s="59"/>
      <c r="AR7" s="407">
        <v>5</v>
      </c>
      <c r="AS7" s="133" t="str">
        <f>'Quick Calculator'!C39</f>
        <v xml:space="preserve">Rainfall - No irrigation </v>
      </c>
      <c r="AT7" s="133"/>
      <c r="AU7" s="133"/>
      <c r="AV7" s="133"/>
      <c r="AW7" s="565">
        <f>IF(ISNUMBER('Quick Calculator'!AF30),'Quick Calculator'!AF30,"")</f>
        <v>0.03</v>
      </c>
      <c r="AX7" s="565">
        <f>IF(ISNUMBER('Quick Calculator'!AG30),'Quick Calculator'!AG30,"")</f>
        <v>3.0000000000000002E-2</v>
      </c>
      <c r="AY7" s="565">
        <f>IF(ISNUMBER('Quick Calculator'!AH30),'Quick Calculator'!AH30,"")</f>
        <v>0.52</v>
      </c>
      <c r="AZ7" s="565">
        <f>IF(ISNUMBER('Quick Calculator'!AJ30),'Quick Calculator'!AJ30,"")</f>
        <v>0.56920997883030822</v>
      </c>
      <c r="BA7" s="565">
        <f>IF(ISNUMBER('Quick Calculator'!AK30),'Quick Calculator'!AK30,"")</f>
        <v>6.0558410632291178E-2</v>
      </c>
      <c r="BB7" s="565">
        <f>IF(ISNUMBER('Quick Calculator'!AI30),'Quick Calculator'!AI30,"")</f>
        <v>0</v>
      </c>
      <c r="BC7" s="565">
        <f>IF(ISNUMBER('Quick Calculator'!I20),'Quick Calculator'!I20,"")</f>
        <v>1320</v>
      </c>
      <c r="BD7" s="565">
        <f>IF(ISNUMBER('Quick Calculator'!J20),'Quick Calculator'!J20,"")</f>
        <v>0</v>
      </c>
      <c r="BE7" s="565">
        <f>IF(ISNUMBER('Quick Calculator'!I28),'Quick Calculator'!I28,"")</f>
        <v>0.09</v>
      </c>
      <c r="BF7" s="565">
        <f>IF(ISNUMBER('Quick Calculator'!J28),'Quick Calculator'!J28,"")</f>
        <v>0.04</v>
      </c>
      <c r="BG7" s="565">
        <f>IF(ISNUMBER('Quick Calculator'!K28),'Quick Calculator'!K28,"")</f>
        <v>0.02</v>
      </c>
      <c r="BH7" s="565">
        <f>IF(ISNUMBER('Quick Calculator'!M28),'Quick Calculator'!M28,"")</f>
        <v>0.1</v>
      </c>
      <c r="BI7" s="565">
        <f>IF(ISNUMBER('Quick Calculator'!N28),'Quick Calculator'!N28,"")</f>
        <v>0.06</v>
      </c>
      <c r="BJ7" s="565">
        <f>IF(ISNUMBER('Quick Calculator'!O28),'Quick Calculator'!O28,"")</f>
        <v>0.01</v>
      </c>
      <c r="BK7" s="36" t="str">
        <f>'Quick Calculator'!AL30</f>
        <v>&lt;0.1</v>
      </c>
      <c r="BL7" s="36" t="str">
        <f>'Quick Calculator'!AM30</f>
        <v>&lt;0.1</v>
      </c>
      <c r="BM7" s="59">
        <f>'Quick Calculator'!T28</f>
        <v>4.3973933958138929</v>
      </c>
      <c r="BN7" s="59">
        <f>'Quick Calculator'!S28</f>
        <v>1.3938012681835823</v>
      </c>
      <c r="BO7" s="59">
        <f>(2*10^BN7)*(0.001)^(1/3)</f>
        <v>4.9525773125508437</v>
      </c>
      <c r="BP7" s="59">
        <f>(2*10^BN7)*(0.005)^(1/3)</f>
        <v>8.4687880785186618</v>
      </c>
      <c r="BQ7" s="59"/>
      <c r="BR7" s="59"/>
      <c r="BS7" s="36">
        <f>'Quick Calculator'!AF26</f>
        <v>1.107</v>
      </c>
      <c r="BT7" s="36">
        <f>'Quick Calculator'!AF27</f>
        <v>1.35</v>
      </c>
      <c r="BU7" s="36">
        <f>'Quick Calculator'!AF28</f>
        <v>5.6</v>
      </c>
      <c r="BV7" s="36">
        <f>'Quick Calculator'!AF29</f>
        <v>3.1</v>
      </c>
      <c r="BW7" s="36">
        <f>'Quick Calculator'!AF30</f>
        <v>0.03</v>
      </c>
      <c r="CA7"/>
      <c r="CB7" t="s">
        <v>1610</v>
      </c>
      <c r="CC7"/>
      <c r="CD7"/>
      <c r="CE7"/>
      <c r="CF7"/>
      <c r="CG7"/>
      <c r="CH7"/>
      <c r="CI7"/>
      <c r="CJ7" s="755"/>
      <c r="CK7" s="755"/>
      <c r="CL7" s="755"/>
      <c r="CM7" s="755"/>
      <c r="CN7" s="755"/>
      <c r="CO7" s="755"/>
      <c r="CP7" s="755"/>
      <c r="CQ7" s="755"/>
      <c r="CR7" s="755"/>
      <c r="CS7" s="755"/>
      <c r="CT7" s="755"/>
      <c r="CU7" s="755"/>
    </row>
    <row r="8" spans="1:189" s="46" customFormat="1" ht="15" customHeight="1">
      <c r="A8" s="162"/>
      <c r="B8" s="278">
        <v>1</v>
      </c>
      <c r="C8" s="1124" t="str">
        <f>'Quick Calculator'!C35</f>
        <v>Yelarbon bore</v>
      </c>
      <c r="D8" s="1124"/>
      <c r="E8" s="1124"/>
      <c r="F8" s="310"/>
      <c r="G8" s="310" t="s">
        <v>156</v>
      </c>
      <c r="H8" s="310"/>
      <c r="I8" s="1134"/>
      <c r="J8" s="1136"/>
      <c r="K8" s="1136"/>
      <c r="L8" s="1136"/>
      <c r="M8" s="1136"/>
      <c r="N8" s="1136"/>
      <c r="O8" s="1136"/>
      <c r="P8" s="1136"/>
      <c r="Q8" s="1136"/>
      <c r="R8" s="1145"/>
      <c r="S8" s="164">
        <v>2</v>
      </c>
      <c r="T8" s="1141" t="str">
        <f>IF($AO11=1,AS$3,IF($AO11=2,AS$4,IF($AO11=3,AS$5,IF($AO11=4,AS$6,IF($AO11=5,AS$7,"")))))</f>
        <v>Yelarbon bore</v>
      </c>
      <c r="U8" s="1142"/>
      <c r="V8" s="179">
        <f t="shared" ref="V8:AC8" si="2">IF($AO11=1,AW$3,IF($AO11=2,AW$4,IF($AO11=3,AW$5,IF($AO11=4,AW$6,IF($AO11=5,AW$7,"")))))</f>
        <v>1.107</v>
      </c>
      <c r="W8" s="179">
        <f t="shared" si="2"/>
        <v>0.41354700854700854</v>
      </c>
      <c r="X8" s="180">
        <f t="shared" si="2"/>
        <v>19</v>
      </c>
      <c r="Y8" s="762">
        <f t="shared" si="2"/>
        <v>20.586009418626617</v>
      </c>
      <c r="Z8" s="764">
        <f t="shared" si="2"/>
        <v>24.403675819467587</v>
      </c>
      <c r="AA8" s="164">
        <f t="shared" si="2"/>
        <v>0</v>
      </c>
      <c r="AB8" s="164">
        <f t="shared" si="2"/>
        <v>904</v>
      </c>
      <c r="AC8" s="164">
        <f t="shared" si="2"/>
        <v>500</v>
      </c>
      <c r="AD8" s="179">
        <f>IF($AO11=1,BF$3,IF($AO11=2,BF$4,IF($AO11=3,BF$5,IF($AO11=4,BF$6,IF($AO11=5,BF$7,"")))))</f>
        <v>0.85</v>
      </c>
      <c r="AE8" s="179">
        <f>IF($AO11=1,BG$3,IF($AO11=2,BG$4,IF($AO11=3,BG$5,IF($AO11=4,BG$6,IF($AO11=5,BG$7,"")))))</f>
        <v>0.15</v>
      </c>
      <c r="AF8" s="179">
        <f>IF($AO11=1,BE$3,IF($AO11=2,BE$4,IF($AO11=3,BE$5,IF($AO11=4,BE$6,IF($AO11=5,BE$7,"")))))</f>
        <v>14</v>
      </c>
      <c r="AG8" s="179">
        <f>IF($AO11=1,BJ$3,IF($AO11=2,BJ$4,IF($AO11=3,BJ$5,IF($AO11=4,BJ$6,IF($AO11=5,BJ$7,"")))))</f>
        <v>7.6</v>
      </c>
      <c r="AH8" s="179">
        <f>IF($AO11=1,BH$3,IF($AO11=2,BH$4,IF($AO11=3,BH$5,IF($AO11=4,BH$6,IF($AO11=5,BH$7,"")))))</f>
        <v>1.97</v>
      </c>
      <c r="AI8" s="179">
        <f>IF($AO11=1,BI$3,IF($AO11=2,BI$4,IF($AO11=3,BI$5,IF($AO11=4,BI$6,IF($AO11=5,BI$7,"")))))</f>
        <v>0.85</v>
      </c>
      <c r="AJ8" s="179">
        <f>IF($AO11=1,BK$3,IF($AO11=2,BK$4,IF($AO11=3,BK$5,IF($AO11=4,BK$6,IF($AO11=5,BK$7,"")))))</f>
        <v>21.113872125586717</v>
      </c>
      <c r="AK8" s="406">
        <f>IF($AO11=1,BL$3,IF($AO11=2,BL$4,IF($AO11=3,BL$5,IF($AO11=4,BL$6,IF($AO11=5,BL$7,"")))))</f>
        <v>25.780467646127843</v>
      </c>
      <c r="AL8" s="161"/>
      <c r="AM8" s="161"/>
      <c r="AN8" s="59" t="b">
        <f t="shared" si="0"/>
        <v>0</v>
      </c>
      <c r="AO8" s="59" t="b">
        <f t="shared" si="0"/>
        <v>0</v>
      </c>
      <c r="AP8" s="59" t="b">
        <f t="shared" si="0"/>
        <v>0</v>
      </c>
      <c r="AQ8" s="59"/>
      <c r="AR8" s="59"/>
      <c r="AS8" s="59"/>
      <c r="AT8" s="59"/>
      <c r="AU8" s="59"/>
      <c r="AV8" s="59"/>
      <c r="AW8" s="59"/>
      <c r="AX8" s="59"/>
      <c r="AY8" s="59"/>
      <c r="AZ8" s="59"/>
      <c r="BA8" s="161" t="s">
        <v>749</v>
      </c>
      <c r="BB8" s="161"/>
      <c r="BC8" s="161"/>
      <c r="BD8" s="161"/>
      <c r="BE8" s="161"/>
      <c r="BF8" s="161"/>
      <c r="BG8" s="161"/>
      <c r="BH8" s="59"/>
      <c r="BI8" s="59"/>
      <c r="BJ8" s="59"/>
      <c r="BK8" s="59"/>
      <c r="BL8" s="59"/>
      <c r="BM8" s="59"/>
      <c r="BN8" s="59"/>
      <c r="BO8" s="59"/>
      <c r="BP8" s="59"/>
      <c r="BQ8" s="59"/>
      <c r="BR8" s="59"/>
      <c r="BS8" s="36">
        <f>'Quick Calculator'!AG26</f>
        <v>0.41354700854700854</v>
      </c>
      <c r="BT8" s="36">
        <f>'Quick Calculator'!AG27</f>
        <v>0.69</v>
      </c>
      <c r="BU8" s="36">
        <f>'Quick Calculator'!AG28</f>
        <v>2.0136182336182333</v>
      </c>
      <c r="BV8" s="36">
        <f>'Quick Calculator'!AG29</f>
        <v>1.1352</v>
      </c>
      <c r="BW8" s="36">
        <f>'Quick Calculator'!AG30</f>
        <v>3.0000000000000002E-2</v>
      </c>
      <c r="CA8"/>
      <c r="CC8" t="s">
        <v>1595</v>
      </c>
      <c r="CD8"/>
      <c r="CE8"/>
      <c r="CF8"/>
      <c r="CG8"/>
      <c r="CH8"/>
      <c r="CI8"/>
      <c r="CJ8" s="755"/>
      <c r="CK8" s="755"/>
      <c r="CL8" s="755"/>
      <c r="CM8" s="755"/>
      <c r="CN8" s="755"/>
      <c r="CO8" s="755"/>
      <c r="CP8" s="755"/>
      <c r="CQ8" s="755"/>
      <c r="CR8" s="755"/>
      <c r="CS8" s="755"/>
      <c r="CT8" s="755"/>
      <c r="CU8" s="755"/>
      <c r="CW8" s="46" t="s">
        <v>1603</v>
      </c>
    </row>
    <row r="9" spans="1:189" s="46" customFormat="1" ht="15" customHeight="1">
      <c r="A9" s="162"/>
      <c r="B9" s="278">
        <v>2</v>
      </c>
      <c r="C9" s="1124" t="str">
        <f>'Quick Calculator'!C36</f>
        <v>Burd 12001253  11/93</v>
      </c>
      <c r="D9" s="1124"/>
      <c r="E9" s="1124"/>
      <c r="F9" s="310"/>
      <c r="G9" s="310"/>
      <c r="H9" s="310"/>
      <c r="I9" s="1134"/>
      <c r="J9" s="1136"/>
      <c r="K9" s="1136"/>
      <c r="L9" s="1136"/>
      <c r="M9" s="1136"/>
      <c r="N9" s="1136"/>
      <c r="O9" s="1136"/>
      <c r="P9" s="1136"/>
      <c r="Q9" s="1136"/>
      <c r="R9" s="1145"/>
      <c r="S9" s="164">
        <v>3</v>
      </c>
      <c r="T9" s="1141">
        <f>IF($AP11=1,AS$3,IF($AP11=2,AS$4,IF($AP11=3,AS$5,IF($AP11=4,AS$6,IF($AP11=5,AS$7,"")))))</f>
        <v>14310218</v>
      </c>
      <c r="U9" s="1142"/>
      <c r="V9" s="179">
        <f t="shared" ref="V9:AA9" si="3">IF($AP11=1,AW$3,IF($AP11=2,AW$4,IF($AP11=3,AW$5,IF($AP11=4,AW$6,IF($AP11=5,AW$7,"")))))</f>
        <v>5.6</v>
      </c>
      <c r="W9" s="179">
        <f t="shared" si="3"/>
        <v>2.0136182336182333</v>
      </c>
      <c r="X9" s="180">
        <f t="shared" si="3"/>
        <v>26</v>
      </c>
      <c r="Y9" s="762">
        <f t="shared" si="3"/>
        <v>50.517909740461889</v>
      </c>
      <c r="Z9" s="764">
        <f t="shared" si="3"/>
        <v>31.576723317281619</v>
      </c>
      <c r="AA9" s="164">
        <f t="shared" si="3"/>
        <v>7.5</v>
      </c>
      <c r="AB9" s="164">
        <f>IF($AP11=1,BC$3,IF($AP11=2,BC$4,IF($AP11=3,BC$5,IF($AP11=4,BC$6,IF($AP11=5,BC$7,"")))))</f>
        <v>904</v>
      </c>
      <c r="AC9" s="164">
        <f>IF($AP11=1,BD$3,IF($AP11=2,BD$4,IF($AP11=3,BD$5,IF($AP11=4,BD$6,IF($AP11=5,BD$7,"")))))</f>
        <v>500</v>
      </c>
      <c r="AD9" s="179">
        <f>IF($AP11=1,BF$3,IF($AP11=2,BF$4,IF($AP11=3,BF$5,IF($AP11=4,BF$6,IF($AP11=5,BF$7,"")))))</f>
        <v>3.3</v>
      </c>
      <c r="AE9" s="179">
        <f>IF($AP11=1,BG$3,IF($AP11=2,BG$4,IF($AP11=3,BG$5,IF($AP11=4,BG$6,IF($AP11=5,BG$7,"")))))</f>
        <v>3.52</v>
      </c>
      <c r="AF9" s="179">
        <f>IF($AP11=1,BE$3,IF($AP11=2,BE$4,IF($AP11=3,BE$5,IF($AP11=4,BE$6,IF($AP11=5,BE$7,"")))))</f>
        <v>47.39</v>
      </c>
      <c r="AG9" s="179">
        <f>IF($AP11=1,BJ$3,IF($AP11=2,BJ$4,IF($AP11=3,BJ$5,IF($AP11=4,BJ$6,IF($AP11=5,BJ$7,"")))))</f>
        <v>13.85</v>
      </c>
      <c r="AH9" s="179">
        <f>IF($AP11=1,BH$3,IF($AP11=2,BH$4,IF($AP11=3,BH$5,IF($AP11=4,BH$6,IF($AP11=5,BH$7,"")))))</f>
        <v>40.85</v>
      </c>
      <c r="AI9" s="179">
        <f>IF($AP11=1,BI$3,IF($AP11=2,BI$4,IF($AP11=3,BI$5,IF($AP11=4,BI$6,IF($AP11=5,BI$7,"")))))</f>
        <v>0.98</v>
      </c>
      <c r="AJ9" s="179">
        <f>IF($AP11=1,BK$3,IF($AP11=2,BK$4,IF($AP11=3,BK$5,IF($AP11=4,BK$6,IF($AP11=5,BK$7,"")))))</f>
        <v>27.055219199066304</v>
      </c>
      <c r="AK9" s="406">
        <f>IF($AP11=1,BL$3,IF($AP11=2,BL$4,IF($AP11=3,BL$5,IF($AP11=4,BL$6,IF($AP11=5,BL$7,"")))))</f>
        <v>31.184295445831442</v>
      </c>
      <c r="AL9" s="161"/>
      <c r="AM9" s="161"/>
      <c r="AN9" s="59"/>
      <c r="AO9" s="59"/>
      <c r="AP9" s="59"/>
      <c r="AQ9" s="59"/>
      <c r="AR9" s="59" t="s">
        <v>585</v>
      </c>
      <c r="AS9" s="59" t="s">
        <v>586</v>
      </c>
      <c r="AT9" s="59" t="s">
        <v>550</v>
      </c>
      <c r="AU9" s="59" t="s">
        <v>610</v>
      </c>
      <c r="AV9" s="59">
        <v>1E-3</v>
      </c>
      <c r="AW9" s="59">
        <v>5.0000000000000001E-3</v>
      </c>
      <c r="AX9" s="59" t="s">
        <v>625</v>
      </c>
      <c r="AY9" s="59" t="s">
        <v>626</v>
      </c>
      <c r="AZ9" s="59"/>
      <c r="BA9" s="280" t="s">
        <v>470</v>
      </c>
      <c r="BB9" s="280" t="s">
        <v>59</v>
      </c>
      <c r="BC9" s="417" t="s">
        <v>605</v>
      </c>
      <c r="BD9" s="280"/>
      <c r="BE9" s="280"/>
      <c r="BF9" s="417"/>
      <c r="BG9" s="161"/>
      <c r="BH9" s="59"/>
      <c r="BI9" s="59"/>
      <c r="BJ9" s="59"/>
      <c r="BK9" s="59"/>
      <c r="BL9" s="59"/>
      <c r="BM9" s="59"/>
      <c r="BN9" s="59"/>
      <c r="BO9" s="59"/>
      <c r="BP9" s="59"/>
      <c r="BQ9" s="59"/>
      <c r="BR9" s="59"/>
      <c r="BS9" s="36">
        <f>'Quick Calculator'!AH26</f>
        <v>19</v>
      </c>
      <c r="BT9" s="36">
        <f>'Quick Calculator'!AH27</f>
        <v>6.5</v>
      </c>
      <c r="BU9" s="36">
        <f>'Quick Calculator'!AH28</f>
        <v>26</v>
      </c>
      <c r="BV9" s="36">
        <f>'Quick Calculator'!AH29</f>
        <v>2</v>
      </c>
      <c r="BW9" s="36">
        <f>'Quick Calculator'!AH30</f>
        <v>0.52</v>
      </c>
      <c r="CA9"/>
      <c r="CB9"/>
      <c r="CC9"/>
      <c r="CD9"/>
      <c r="CE9"/>
      <c r="CF9"/>
      <c r="CG9"/>
      <c r="CH9"/>
      <c r="CI9"/>
      <c r="CJ9" s="755"/>
      <c r="CK9" s="755"/>
      <c r="CL9" s="755"/>
      <c r="CM9" s="755"/>
      <c r="CN9" s="755"/>
      <c r="CO9" s="755"/>
      <c r="CP9" s="755"/>
      <c r="CQ9" s="755"/>
      <c r="CR9" s="755"/>
      <c r="CS9" s="755"/>
      <c r="CT9" s="755"/>
      <c r="CU9" s="755"/>
      <c r="CW9" s="46" t="s">
        <v>1604</v>
      </c>
      <c r="CX9" s="46" t="s">
        <v>1605</v>
      </c>
    </row>
    <row r="10" spans="1:189" s="46" customFormat="1" ht="15.75" customHeight="1">
      <c r="A10" s="162"/>
      <c r="B10" s="278">
        <v>3</v>
      </c>
      <c r="C10" s="1124">
        <f>'Quick Calculator'!C37</f>
        <v>14310218</v>
      </c>
      <c r="D10" s="1124"/>
      <c r="E10" s="1124"/>
      <c r="F10" s="310"/>
      <c r="G10" s="310"/>
      <c r="H10" s="310" t="s">
        <v>156</v>
      </c>
      <c r="I10" s="1134">
        <v>3</v>
      </c>
      <c r="J10" s="880" t="s">
        <v>1095</v>
      </c>
      <c r="K10" s="880"/>
      <c r="L10" s="880"/>
      <c r="M10" s="880"/>
      <c r="N10" s="880"/>
      <c r="O10" s="880"/>
      <c r="P10" s="880"/>
      <c r="Q10" s="880"/>
      <c r="R10" s="880"/>
      <c r="S10" s="829"/>
      <c r="T10" s="829"/>
      <c r="U10" s="829"/>
      <c r="V10" s="829"/>
      <c r="W10" s="829"/>
      <c r="X10" s="829"/>
      <c r="Y10" s="829"/>
      <c r="Z10" s="829"/>
      <c r="AA10" s="829"/>
      <c r="AB10" s="1139" t="str">
        <f>IF(AO18=1,"Warning: Total water input in Site " &amp; AP18 &amp; " exceeds values used in deriving the predictive model and thus is an extrapolation to be used with caution",IF(AO18&gt;1,"Warning: Total water input in more than one site exceeds values used in deriving the predictive model and thus is an extrapolation to be used with caution",""))</f>
        <v/>
      </c>
      <c r="AC10" s="1139"/>
      <c r="AD10" s="1139"/>
      <c r="AE10" s="1139"/>
      <c r="AF10" s="1139"/>
      <c r="AG10" s="1139"/>
      <c r="AH10" s="1139"/>
      <c r="AI10" s="1139"/>
      <c r="AJ10" s="1139"/>
      <c r="AK10" s="168"/>
      <c r="AL10" s="161"/>
      <c r="AM10" s="161"/>
      <c r="AN10" s="59" t="s">
        <v>507</v>
      </c>
      <c r="AO10" s="59"/>
      <c r="AP10" s="59"/>
      <c r="AQ10" s="59"/>
      <c r="AR10" s="59" t="s">
        <v>477</v>
      </c>
      <c r="AS10" s="49">
        <f>'Reference Lists&amp;Tables'!H29</f>
        <v>0.77200000000000002</v>
      </c>
      <c r="AT10" s="49">
        <f>'Reference Lists&amp;Tables'!I29</f>
        <v>-0.98</v>
      </c>
      <c r="AU10" s="59">
        <f>IF($AN11=1,BM3,IF($AN11=2,BM4,IF($AN11=3,BM5,IF($AN11=4,BM6,IF($AN11=5,BM7,"")))))</f>
        <v>2.2612938257514497</v>
      </c>
      <c r="AV10" s="59">
        <f>IF(AN11=1,$BO3,IF(AN11=2,$BO4,IF(AN11=3,$BO5,IF(AN11=4,$BO6,IF(AN11=5,$BO7,"")))))</f>
        <v>2.5467888565733192</v>
      </c>
      <c r="AW10" s="59">
        <f>IF(AN11=1,$BP3,IF(AN11=2,$BP4,IF(AN11=3,$BP5,IF(AN11=4,$BP6,IF(AN11=5,$BP7,"")))))</f>
        <v>4.3549476860046239</v>
      </c>
      <c r="AX10" s="59">
        <f t="shared" ref="AX10:AY12" si="4">IF(AJ7="&lt;0.1",0.1,AJ7)</f>
        <v>1.6619136591601928</v>
      </c>
      <c r="AY10" s="59">
        <f t="shared" si="4"/>
        <v>2.018664352509878</v>
      </c>
      <c r="AZ10" s="59"/>
      <c r="BA10" s="161">
        <f>IF(W7&gt;10,10,W7)</f>
        <v>1.1352</v>
      </c>
      <c r="BB10" s="161">
        <f>IF(X7&gt;30,30,X7)</f>
        <v>2</v>
      </c>
      <c r="BC10" s="161">
        <f>IF(Z7&gt;30,30,Z7)</f>
        <v>2.2510196371999172</v>
      </c>
      <c r="BD10" s="161"/>
      <c r="BE10" s="161"/>
      <c r="BF10" s="161"/>
      <c r="BG10" s="161"/>
      <c r="BH10" s="59"/>
      <c r="BI10" s="59"/>
      <c r="BJ10" s="59"/>
      <c r="BK10" s="59"/>
      <c r="BL10" s="59"/>
      <c r="BM10" s="59"/>
      <c r="BN10" s="59"/>
      <c r="BO10" s="59"/>
      <c r="BP10" s="59"/>
      <c r="BQ10" s="59"/>
      <c r="BR10" s="59"/>
      <c r="BS10" s="36">
        <f>'Quick Calculator'!AI26</f>
        <v>0</v>
      </c>
      <c r="BT10" s="36">
        <f>'Quick Calculator'!AI27</f>
        <v>2.31</v>
      </c>
      <c r="BU10" s="36">
        <f>'Quick Calculator'!AI28</f>
        <v>7.5</v>
      </c>
      <c r="BV10" s="36">
        <f>'Quick Calculator'!AI29</f>
        <v>0</v>
      </c>
      <c r="BW10" s="36">
        <f>'Quick Calculator'!AI30</f>
        <v>0</v>
      </c>
      <c r="CA10"/>
      <c r="CB10">
        <v>8</v>
      </c>
      <c r="CC10">
        <v>23.7</v>
      </c>
      <c r="CD10" t="s">
        <v>1596</v>
      </c>
      <c r="CE10"/>
      <c r="CF10"/>
      <c r="CG10"/>
      <c r="CH10"/>
      <c r="CI10"/>
      <c r="CJ10" s="755"/>
      <c r="CK10" s="755"/>
      <c r="CL10" s="755"/>
      <c r="CM10" s="755"/>
      <c r="CN10" s="755"/>
      <c r="CO10" s="755"/>
      <c r="CP10" s="755"/>
      <c r="CQ10" s="755"/>
      <c r="CR10" s="755"/>
      <c r="CS10" s="755"/>
      <c r="CT10" s="755"/>
      <c r="CU10" s="755"/>
      <c r="CW10" s="46" t="s">
        <v>1606</v>
      </c>
    </row>
    <row r="11" spans="1:189" s="46" customFormat="1" ht="16.5" customHeight="1">
      <c r="A11" s="162"/>
      <c r="B11" s="278">
        <v>4</v>
      </c>
      <c r="C11" s="1125" t="str">
        <f>'Quick Calculator'!C38</f>
        <v>Tenthill 14320222</v>
      </c>
      <c r="D11" s="1125"/>
      <c r="E11" s="1126"/>
      <c r="F11" s="310" t="s">
        <v>156</v>
      </c>
      <c r="G11" s="310"/>
      <c r="H11" s="310"/>
      <c r="I11" s="1134"/>
      <c r="J11" s="880"/>
      <c r="K11" s="880"/>
      <c r="L11" s="880"/>
      <c r="M11" s="880"/>
      <c r="N11" s="880"/>
      <c r="O11" s="880"/>
      <c r="P11" s="880"/>
      <c r="Q11" s="880"/>
      <c r="R11" s="880"/>
      <c r="S11" s="830"/>
      <c r="T11" s="830"/>
      <c r="U11" s="830"/>
      <c r="V11" s="830"/>
      <c r="W11" s="830"/>
      <c r="X11" s="830"/>
      <c r="Y11" s="830"/>
      <c r="Z11" s="830"/>
      <c r="AA11" s="830"/>
      <c r="AB11" s="1140"/>
      <c r="AC11" s="1140"/>
      <c r="AD11" s="1140"/>
      <c r="AE11" s="1140"/>
      <c r="AF11" s="1140"/>
      <c r="AG11" s="1140"/>
      <c r="AH11" s="1140"/>
      <c r="AI11" s="1140"/>
      <c r="AJ11" s="1140"/>
      <c r="AK11" s="168"/>
      <c r="AL11" s="161"/>
      <c r="AM11" s="161"/>
      <c r="AN11" s="59">
        <f>IF(AN4=TRUE,1,IF(AN5=TRUE,2,IF(AN6=TRUE,3,IF(AN7=TRUE,4,IF(AN8=TRUE,5)))))</f>
        <v>4</v>
      </c>
      <c r="AO11" s="59">
        <f>IF(AO4=TRUE,1,IF(AO5=TRUE,2,IF(AO6=TRUE,3,IF(AO7=TRUE,4,IF(AO8=TRUE,5)))))</f>
        <v>1</v>
      </c>
      <c r="AP11" s="59">
        <f>IF(AP4=TRUE,1,IF(AP5=TRUE,2,IF(AP6=TRUE,3,IF(AP7=TRUE,4,IF(AP8=TRUE,5)))))</f>
        <v>3</v>
      </c>
      <c r="AQ11" s="59"/>
      <c r="AR11" s="59" t="s">
        <v>503</v>
      </c>
      <c r="AS11" s="49">
        <f>'Reference Lists&amp;Tables'!H30</f>
        <v>0.33</v>
      </c>
      <c r="AT11" s="49">
        <f>'Reference Lists&amp;Tables'!I30</f>
        <v>-0.85699999999999998</v>
      </c>
      <c r="AU11" s="59">
        <f>IF(AO11=1,$BM3,IF(AO11=2,$BM4,IF(AO11=3,$BM5,IF(AO11=4,$BM6,IF(AO11=5,$BM7,"")))))</f>
        <v>0.50822681803651792</v>
      </c>
      <c r="AV11" s="59">
        <f>IF(AO11=1,$BO3,IF(AO11=2,$BO4,IF(AO11=3,$BO5,IF(AO11=4,$BO6,IF(AO11=5,$BO7,"")))))</f>
        <v>0.57239195634251394</v>
      </c>
      <c r="AW11" s="59">
        <f>IF(AO11=1,$BP3,IF(AO11=2,$BP4,IF(AO11=3,$BP5,IF(AO11=4,$BP6,IF(AO11=5,$BP7,"")))))</f>
        <v>0.97877647741691687</v>
      </c>
      <c r="AX11" s="59">
        <f t="shared" si="4"/>
        <v>21.113872125586717</v>
      </c>
      <c r="AY11" s="59">
        <f t="shared" si="4"/>
        <v>25.780467646127843</v>
      </c>
      <c r="AZ11" s="59"/>
      <c r="BA11" s="161">
        <f>IF(W8&gt;10,10,W8)</f>
        <v>0.41354700854700854</v>
      </c>
      <c r="BB11" s="161">
        <f>IF(X8&gt;30,30,X8)</f>
        <v>19</v>
      </c>
      <c r="BC11" s="161">
        <f>IF(Z8&gt;30,30,Z8)</f>
        <v>24.403675819467587</v>
      </c>
      <c r="BD11" s="161"/>
      <c r="BE11" s="161"/>
      <c r="BF11" s="161"/>
      <c r="BG11" s="161"/>
      <c r="BH11" s="59"/>
      <c r="BI11" s="59"/>
      <c r="BJ11" s="59"/>
      <c r="BK11" s="59"/>
      <c r="BL11" s="59"/>
      <c r="BM11" s="59"/>
      <c r="BN11" s="59"/>
      <c r="BO11" s="59"/>
      <c r="BP11" s="59"/>
      <c r="BQ11" s="59"/>
      <c r="BR11" s="59"/>
      <c r="BS11" s="46">
        <f>'Quick Calculator'!I16</f>
        <v>904</v>
      </c>
      <c r="BT11" s="46">
        <f>'Quick Calculator'!I17</f>
        <v>950</v>
      </c>
      <c r="BU11" s="46">
        <f>'Quick Calculator'!I18</f>
        <v>904</v>
      </c>
      <c r="BV11" s="46">
        <f>'Quick Calculator'!I19</f>
        <v>800</v>
      </c>
      <c r="BW11" s="46">
        <f>'Quick Calculator'!I20</f>
        <v>1320</v>
      </c>
      <c r="CA11">
        <v>1</v>
      </c>
      <c r="CB11" t="s">
        <v>1597</v>
      </c>
      <c r="CC11" t="s">
        <v>1598</v>
      </c>
      <c r="CD11"/>
      <c r="CE11" t="s">
        <v>110</v>
      </c>
      <c r="CF11"/>
      <c r="CG11"/>
      <c r="CH11"/>
      <c r="CI11"/>
      <c r="CJ11" s="755"/>
      <c r="CK11" s="755"/>
      <c r="CL11" s="755"/>
      <c r="CM11" s="755"/>
      <c r="CN11" s="755"/>
      <c r="CO11" s="755"/>
      <c r="CP11" s="755"/>
      <c r="CQ11" s="755"/>
      <c r="CR11" s="755"/>
      <c r="CS11" s="755"/>
      <c r="CT11" s="755"/>
      <c r="CU11" s="755"/>
      <c r="CW11" s="46" t="s">
        <v>1607</v>
      </c>
    </row>
    <row r="12" spans="1:189" s="46" customFormat="1" ht="17.25" customHeight="1">
      <c r="A12" s="162"/>
      <c r="B12" s="279">
        <v>5</v>
      </c>
      <c r="C12" s="1124" t="str">
        <f>'Quick Calculator'!C39</f>
        <v xml:space="preserve">Rainfall - No irrigation </v>
      </c>
      <c r="D12" s="1124"/>
      <c r="E12" s="1124"/>
      <c r="F12" s="310"/>
      <c r="G12" s="310"/>
      <c r="H12" s="310"/>
      <c r="I12" s="1134"/>
      <c r="J12" s="880"/>
      <c r="K12" s="880"/>
      <c r="L12" s="880"/>
      <c r="M12" s="880"/>
      <c r="N12" s="880"/>
      <c r="O12" s="880"/>
      <c r="P12" s="880"/>
      <c r="Q12" s="880"/>
      <c r="R12" s="880"/>
      <c r="S12" s="591"/>
      <c r="T12" s="591"/>
      <c r="U12" s="591"/>
      <c r="V12" s="161"/>
      <c r="W12" s="161"/>
      <c r="X12" s="161"/>
      <c r="Z12" s="780"/>
      <c r="AA12" s="780"/>
      <c r="AB12" s="780"/>
      <c r="AC12" s="780"/>
      <c r="AD12" s="780"/>
      <c r="AE12" s="780"/>
      <c r="AF12" s="780"/>
      <c r="AG12" s="780"/>
      <c r="AH12" s="780"/>
      <c r="AI12" s="780"/>
      <c r="AJ12" s="780"/>
      <c r="AK12" s="168"/>
      <c r="AL12" s="161"/>
      <c r="AM12" s="161"/>
      <c r="AN12" s="59" t="s">
        <v>516</v>
      </c>
      <c r="AO12" s="59"/>
      <c r="AP12" s="59"/>
      <c r="AQ12" s="59"/>
      <c r="AR12" s="59" t="s">
        <v>504</v>
      </c>
      <c r="AS12" s="49">
        <f>'Reference Lists&amp;Tables'!H31</f>
        <v>0.82699999999999996</v>
      </c>
      <c r="AT12" s="49">
        <f>'Reference Lists&amp;Tables'!I31</f>
        <v>-1.087</v>
      </c>
      <c r="AU12" s="59">
        <f>IF(AP11=1,$BM3,IF(AP11=2,$BM4,IF(AP11=3,$BM5,IF(AP11=4,$BM6,IF(AP11=5,$BM7,"")))))</f>
        <v>0.98473543313637291</v>
      </c>
      <c r="AV12" s="59">
        <f>IF(AP11=1,$BO3,IF(AP11=2,$BO4,IF(AP11=3,$BO5,IF(AP11=4,$BO6,IF(AP11=5,$BO7,"")))))</f>
        <v>1.1090611928554714</v>
      </c>
      <c r="AW12" s="59">
        <f>IF(AP11=1,$BP3,IF(AP11=2,$BP4,IF(AP11=3,$BP5,IF(AP11=4,$BP6,IF(AP11=5,$BP7,"")))))</f>
        <v>1.8964679631754218</v>
      </c>
      <c r="AX12" s="59">
        <f t="shared" si="4"/>
        <v>27.055219199066304</v>
      </c>
      <c r="AY12" s="59">
        <f t="shared" si="4"/>
        <v>31.184295445831442</v>
      </c>
      <c r="AZ12" s="59"/>
      <c r="BA12" s="160">
        <f>IF(W9&gt;10,10,W9)</f>
        <v>2.0136182336182333</v>
      </c>
      <c r="BB12" s="160">
        <f>IF(X9&gt;30,30,X9)</f>
        <v>26</v>
      </c>
      <c r="BC12" s="160">
        <f>IF(Z9&gt;30,30,Z9)</f>
        <v>30</v>
      </c>
      <c r="BD12" s="59"/>
      <c r="BE12" s="59"/>
      <c r="BF12" s="59"/>
      <c r="BG12" s="59"/>
      <c r="BH12" s="59"/>
      <c r="BI12" s="59"/>
      <c r="BJ12" s="59"/>
      <c r="BK12" s="59"/>
      <c r="BL12" s="59"/>
      <c r="BM12" s="59"/>
      <c r="BN12" s="59"/>
      <c r="BO12" s="59"/>
      <c r="BP12" s="59"/>
      <c r="BQ12" s="59"/>
      <c r="BR12" s="59"/>
      <c r="BS12" s="46">
        <f>'Quick Calculator'!J16</f>
        <v>500</v>
      </c>
      <c r="BT12" s="46">
        <f>'Quick Calculator'!J17</f>
        <v>950</v>
      </c>
      <c r="BU12" s="46">
        <f>'Quick Calculator'!J18</f>
        <v>500</v>
      </c>
      <c r="BV12" s="46">
        <f>'Quick Calculator'!J19</f>
        <v>450</v>
      </c>
      <c r="BW12" s="46">
        <f>'Quick Calculator'!J20</f>
        <v>0</v>
      </c>
      <c r="CA12">
        <v>2</v>
      </c>
      <c r="CB12" t="s">
        <v>1599</v>
      </c>
      <c r="CC12"/>
      <c r="CD12" t="s">
        <v>1600</v>
      </c>
      <c r="CE12" t="s">
        <v>1601</v>
      </c>
      <c r="CF12"/>
      <c r="CG12"/>
      <c r="CH12"/>
      <c r="CI12"/>
      <c r="CJ12" s="755"/>
      <c r="CK12" s="755"/>
      <c r="CL12" s="755"/>
      <c r="CM12" s="755"/>
      <c r="CN12" s="755"/>
      <c r="CO12" s="755"/>
      <c r="CP12" s="755"/>
      <c r="CQ12" s="755"/>
      <c r="CR12" s="755"/>
      <c r="CS12" s="755"/>
      <c r="CT12" s="755"/>
      <c r="CU12" s="755"/>
      <c r="CW12" s="46" t="s">
        <v>1608</v>
      </c>
      <c r="CY12" s="46" t="s">
        <v>1609</v>
      </c>
      <c r="DD12" s="46" t="s">
        <v>1649</v>
      </c>
      <c r="DH12" s="46">
        <f>AN11</f>
        <v>4</v>
      </c>
    </row>
    <row r="13" spans="1:189" s="46" customFormat="1" ht="27" customHeight="1">
      <c r="A13" s="162"/>
      <c r="B13" s="1116" t="s">
        <v>903</v>
      </c>
      <c r="C13" s="1127" t="s">
        <v>368</v>
      </c>
      <c r="D13" s="1128"/>
      <c r="E13" s="1128"/>
      <c r="F13" s="1128"/>
      <c r="G13" s="1128"/>
      <c r="H13" s="1129"/>
      <c r="I13" s="1134"/>
      <c r="J13" s="880"/>
      <c r="K13" s="880"/>
      <c r="L13" s="880"/>
      <c r="M13" s="880"/>
      <c r="N13" s="880"/>
      <c r="O13" s="880"/>
      <c r="P13" s="880"/>
      <c r="Q13" s="880"/>
      <c r="R13" s="880"/>
      <c r="S13" s="591"/>
      <c r="T13" s="591"/>
      <c r="U13" s="1135"/>
      <c r="V13" s="1136"/>
      <c r="W13" s="1136"/>
      <c r="X13" s="161"/>
      <c r="Y13" s="780"/>
      <c r="AA13" s="1150" t="s">
        <v>1427</v>
      </c>
      <c r="AB13" s="1150"/>
      <c r="AC13" s="1150"/>
      <c r="AD13" s="1150"/>
      <c r="AE13" s="1150"/>
      <c r="AF13" s="1150"/>
      <c r="AG13" s="1150"/>
      <c r="AH13" s="1150"/>
      <c r="AI13" s="1150"/>
      <c r="AJ13" s="1150"/>
      <c r="AK13" s="781"/>
      <c r="AL13" s="161"/>
      <c r="AM13" s="161"/>
      <c r="AN13" s="46" t="s">
        <v>965</v>
      </c>
      <c r="AO13" s="46" t="s">
        <v>966</v>
      </c>
      <c r="BQ13" s="59"/>
      <c r="BR13" s="59"/>
      <c r="BS13" s="36">
        <f>'Quick Calculator'!AG26</f>
        <v>0.41354700854700854</v>
      </c>
      <c r="BT13" s="36">
        <f>'Quick Calculator'!AG27</f>
        <v>0.69</v>
      </c>
      <c r="BU13" s="36">
        <f>'Quick Calculator'!AG28</f>
        <v>2.0136182336182333</v>
      </c>
      <c r="BV13" s="36">
        <f>'Quick Calculator'!AG29</f>
        <v>1.1352</v>
      </c>
      <c r="BW13" s="36">
        <f>'Quick Calculator'!AG30</f>
        <v>3.0000000000000002E-2</v>
      </c>
      <c r="CA13">
        <v>3</v>
      </c>
      <c r="CB13"/>
      <c r="CC13"/>
      <c r="CD13"/>
      <c r="CE13"/>
      <c r="CF13"/>
      <c r="CG13"/>
      <c r="CH13"/>
      <c r="CI13"/>
      <c r="CJ13" s="755"/>
      <c r="CK13" s="755"/>
      <c r="CL13" s="755"/>
      <c r="CM13" s="755"/>
      <c r="CN13" s="755"/>
      <c r="CO13" s="755"/>
      <c r="CP13" s="755"/>
      <c r="CQ13" s="755"/>
      <c r="CR13" s="755"/>
      <c r="CS13" s="755"/>
      <c r="CT13" s="755"/>
      <c r="CU13" s="755"/>
      <c r="DG13" s="46" t="s">
        <v>1650</v>
      </c>
      <c r="DJ13" s="46" t="s">
        <v>1645</v>
      </c>
      <c r="DM13" s="46" t="s">
        <v>1650</v>
      </c>
    </row>
    <row r="14" spans="1:189" s="46" customFormat="1" ht="32.25" customHeight="1">
      <c r="A14" s="162"/>
      <c r="B14" s="1117"/>
      <c r="C14" s="1132" t="s">
        <v>1576</v>
      </c>
      <c r="D14" s="1132"/>
      <c r="E14" s="1132"/>
      <c r="F14" s="1132"/>
      <c r="G14" s="1132"/>
      <c r="H14" s="1132"/>
      <c r="I14" s="567">
        <v>4</v>
      </c>
      <c r="J14" s="880" t="s">
        <v>1484</v>
      </c>
      <c r="K14" s="880"/>
      <c r="L14" s="880"/>
      <c r="M14" s="880"/>
      <c r="N14" s="880"/>
      <c r="O14" s="880"/>
      <c r="P14" s="880"/>
      <c r="Q14" s="880"/>
      <c r="R14" s="880"/>
      <c r="S14" s="880"/>
      <c r="T14" s="880"/>
      <c r="U14" s="795"/>
      <c r="V14" s="795"/>
      <c r="W14" s="795"/>
      <c r="X14" s="161"/>
      <c r="Y14" s="780"/>
      <c r="Z14" s="780"/>
      <c r="AA14" s="1150"/>
      <c r="AB14" s="1150"/>
      <c r="AC14" s="1150"/>
      <c r="AD14" s="1150"/>
      <c r="AE14" s="1150"/>
      <c r="AF14" s="1150"/>
      <c r="AG14" s="1150"/>
      <c r="AH14" s="1150"/>
      <c r="AI14" s="1150"/>
      <c r="AJ14" s="1150"/>
      <c r="AK14" s="781"/>
      <c r="AL14" s="161"/>
      <c r="AM14" s="161">
        <v>1</v>
      </c>
      <c r="AN14" s="46">
        <f>SUM(AB7:AC7)</f>
        <v>1250</v>
      </c>
      <c r="AO14" s="46" t="b">
        <f>IF(AN14&gt;2100,)</f>
        <v>0</v>
      </c>
      <c r="AP14" s="103">
        <f>IF(AO14=0,1,)</f>
        <v>0</v>
      </c>
      <c r="BQ14" s="59"/>
      <c r="BR14" s="59"/>
      <c r="CA14">
        <v>4</v>
      </c>
      <c r="CB14"/>
      <c r="CC14"/>
      <c r="CD14"/>
      <c r="CE14"/>
      <c r="CF14"/>
      <c r="CG14"/>
      <c r="CH14"/>
      <c r="CI14"/>
      <c r="CJ14" s="755"/>
      <c r="CK14" s="755"/>
      <c r="CL14" s="755"/>
      <c r="CM14" s="755"/>
      <c r="CN14" s="755"/>
      <c r="CO14" s="755"/>
      <c r="CP14" s="755"/>
      <c r="CQ14" s="755"/>
      <c r="CR14" s="755"/>
      <c r="CS14" s="755"/>
      <c r="CT14" s="755"/>
      <c r="CU14" s="755"/>
      <c r="DD14" s="46" t="s">
        <v>10</v>
      </c>
      <c r="DE14" s="46">
        <f>V30</f>
        <v>7</v>
      </c>
      <c r="DF14" s="46" t="s">
        <v>59</v>
      </c>
      <c r="DG14" s="91">
        <f>IF(DH12=1,AY$3,IF(DH12=2,AY$4,IF(DH12=3,AY$5,IF(DH12=4,AY$6,IF(DH12=5,AY$7,"")))))</f>
        <v>2</v>
      </c>
      <c r="DH14" s="46" t="s">
        <v>1644</v>
      </c>
      <c r="DI14" s="46">
        <v>50</v>
      </c>
      <c r="DJ14" s="46">
        <f>IF(DI14&gt;DE14,DI14,DE14)</f>
        <v>50</v>
      </c>
      <c r="DM14" s="46" t="s">
        <v>470</v>
      </c>
      <c r="DN14" s="46">
        <f>IF(DH12=1,AX$3,IF(DH12=2,AX$4,IF(DH12=3,AX$5,IF(DH12=4,AX$6,IF(DH12=5,AX$7,"")))))</f>
        <v>1.1352</v>
      </c>
      <c r="DP14" s="46" t="s">
        <v>605</v>
      </c>
      <c r="DQ14" s="46">
        <f>IF(DH12=1,BA$3,IF(DH12=2,BA$4,IF(DH12=3,BA$5,IF(DH12=4,BA$6,IF(DH12=5,BA$7,"")))))</f>
        <v>2.2510196371999172</v>
      </c>
    </row>
    <row r="15" spans="1:189" s="622" customFormat="1" ht="33" customHeight="1">
      <c r="A15" s="162"/>
      <c r="B15" s="628"/>
      <c r="C15" s="1133"/>
      <c r="D15" s="1133"/>
      <c r="E15" s="1133"/>
      <c r="F15" s="1133"/>
      <c r="G15" s="1133"/>
      <c r="H15" s="1133"/>
      <c r="I15" s="649" t="s">
        <v>1503</v>
      </c>
      <c r="J15" s="880" t="s">
        <v>1485</v>
      </c>
      <c r="K15" s="880"/>
      <c r="L15" s="880"/>
      <c r="M15" s="880"/>
      <c r="N15" s="880"/>
      <c r="O15" s="880"/>
      <c r="P15" s="880"/>
      <c r="Q15" s="880"/>
      <c r="R15" s="880"/>
      <c r="S15" s="1148" t="s">
        <v>1727</v>
      </c>
      <c r="T15" s="1148"/>
      <c r="U15" s="1097" t="str">
        <f>IF(W20&gt;=0.65,"LF value is considered too high, click here for more detail","")</f>
        <v/>
      </c>
      <c r="V15" s="1097"/>
      <c r="W15" s="1148" t="s">
        <v>1664</v>
      </c>
      <c r="X15" s="1148" t="s">
        <v>1727</v>
      </c>
      <c r="Y15" s="1148"/>
      <c r="Z15" s="1148"/>
      <c r="AA15" s="627"/>
      <c r="AB15" s="627"/>
      <c r="AC15" s="627"/>
      <c r="AD15" s="627"/>
      <c r="AE15" s="627"/>
      <c r="AF15" s="627"/>
      <c r="AG15" s="627"/>
      <c r="AH15" s="627"/>
      <c r="AI15" s="627"/>
      <c r="AJ15" s="627"/>
      <c r="AK15" s="168"/>
      <c r="AL15" s="161"/>
      <c r="AM15" s="161"/>
      <c r="AP15" s="103"/>
      <c r="CA15"/>
      <c r="CB15"/>
      <c r="CC15"/>
      <c r="CD15"/>
      <c r="CE15"/>
      <c r="CF15"/>
      <c r="CG15"/>
      <c r="CH15"/>
      <c r="CI15"/>
      <c r="CJ15" s="755"/>
      <c r="CK15" s="755"/>
      <c r="CL15" s="755"/>
      <c r="CM15" s="755"/>
      <c r="CN15" s="755"/>
      <c r="CO15" s="755"/>
      <c r="CP15" s="755"/>
      <c r="CQ15" s="755"/>
      <c r="CR15" s="755"/>
      <c r="CS15" s="755"/>
      <c r="CT15" s="755"/>
      <c r="CU15" s="755"/>
      <c r="DD15" s="622" t="s">
        <v>1643</v>
      </c>
    </row>
    <row r="16" spans="1:189" s="46" customFormat="1" ht="55.5" customHeight="1" thickBot="1">
      <c r="A16" s="162"/>
      <c r="B16" s="190" t="s">
        <v>648</v>
      </c>
      <c r="C16" s="161"/>
      <c r="D16" s="161"/>
      <c r="E16" s="1091" t="s">
        <v>477</v>
      </c>
      <c r="F16" s="1091"/>
      <c r="G16" s="1091"/>
      <c r="H16" s="1091"/>
      <c r="I16" s="161"/>
      <c r="J16" s="868" t="s">
        <v>1724</v>
      </c>
      <c r="K16" s="161"/>
      <c r="L16" s="161"/>
      <c r="M16" s="161"/>
      <c r="N16" s="161"/>
      <c r="O16" s="161"/>
      <c r="P16" s="1153"/>
      <c r="Q16" s="1153"/>
      <c r="R16" s="1153"/>
      <c r="S16" s="1149"/>
      <c r="T16" s="1149"/>
      <c r="U16" s="1152"/>
      <c r="V16" s="1152"/>
      <c r="W16" s="1151"/>
      <c r="X16" s="1149"/>
      <c r="Y16" s="1149"/>
      <c r="Z16" s="1149"/>
      <c r="AA16" s="791"/>
      <c r="AB16" s="161"/>
      <c r="AC16" s="161"/>
      <c r="AD16" s="161"/>
      <c r="AE16" s="161"/>
      <c r="AF16" s="161"/>
      <c r="AG16" s="161"/>
      <c r="AH16" s="161"/>
      <c r="AI16" s="161"/>
      <c r="AJ16" s="161"/>
      <c r="AK16" s="168"/>
      <c r="AL16" s="161"/>
      <c r="AM16" s="161">
        <v>2</v>
      </c>
      <c r="AN16" s="160">
        <f>SUM(AB8:AC8)</f>
        <v>1404</v>
      </c>
      <c r="AO16" s="160" t="b">
        <f>IF(AN16&gt;2100,)</f>
        <v>0</v>
      </c>
      <c r="AP16" s="103">
        <f>IF(AO16=0,2,)</f>
        <v>0</v>
      </c>
      <c r="AQ16" s="59"/>
      <c r="AR16" s="59"/>
      <c r="AS16" s="59"/>
      <c r="AT16" s="59"/>
      <c r="AU16" s="59"/>
      <c r="AV16" s="59"/>
      <c r="AW16" s="59"/>
      <c r="AX16" s="59"/>
      <c r="AY16" s="59"/>
      <c r="AZ16" s="59"/>
      <c r="BA16" s="59"/>
      <c r="BB16" s="59">
        <v>23.1</v>
      </c>
      <c r="BC16" s="59">
        <v>0.42</v>
      </c>
      <c r="BD16" s="59"/>
      <c r="BE16" s="59">
        <f>IF(AND(BB16&gt;=15,BB16&lt;25),15,"")</f>
        <v>15</v>
      </c>
      <c r="BF16" s="59">
        <f>IF(AND(BC16&gt;=0.35,BC16&lt;0.55),0.35,"")</f>
        <v>0.35</v>
      </c>
      <c r="BG16" s="59">
        <f>IF(BF16=BE21,BE19,"")</f>
        <v>2</v>
      </c>
      <c r="BH16" s="59"/>
      <c r="BI16" s="59"/>
      <c r="BJ16" s="59"/>
      <c r="BK16" s="59"/>
      <c r="BL16" s="59"/>
      <c r="BM16" s="59"/>
      <c r="BN16" s="59"/>
      <c r="BO16" s="59"/>
      <c r="BP16" s="59"/>
      <c r="BQ16" s="59"/>
      <c r="BR16" s="59"/>
      <c r="BY16" s="46" t="s">
        <v>1646</v>
      </c>
      <c r="CA16" s="755"/>
      <c r="CB16" s="755"/>
      <c r="CC16" s="755"/>
      <c r="CD16" s="755"/>
      <c r="CE16" s="755"/>
      <c r="CF16" s="755"/>
      <c r="CG16" s="755"/>
      <c r="CH16" s="755"/>
      <c r="CI16" s="755"/>
      <c r="CJ16" s="755"/>
      <c r="CK16" s="755"/>
      <c r="CL16" s="755"/>
      <c r="CM16" s="755"/>
      <c r="CN16" s="755"/>
      <c r="CO16" s="755"/>
      <c r="CP16" s="755"/>
      <c r="CQ16" s="755"/>
      <c r="CR16" s="755"/>
      <c r="CS16" s="755"/>
      <c r="CT16" s="755"/>
      <c r="CU16" s="755"/>
      <c r="CX16" s="755"/>
      <c r="CY16" s="755"/>
      <c r="CZ16" s="755"/>
      <c r="DA16" s="755"/>
      <c r="DB16" s="755"/>
      <c r="DC16" s="755"/>
      <c r="DD16" s="755">
        <v>1</v>
      </c>
      <c r="DE16" s="755">
        <v>2</v>
      </c>
      <c r="DF16" s="755">
        <v>3</v>
      </c>
      <c r="DG16" s="755">
        <v>4</v>
      </c>
      <c r="DH16" s="755">
        <v>5</v>
      </c>
      <c r="DI16" s="755">
        <v>6</v>
      </c>
      <c r="DJ16" s="755">
        <v>7</v>
      </c>
      <c r="DK16" s="755">
        <v>8</v>
      </c>
      <c r="DL16" s="755">
        <v>9</v>
      </c>
      <c r="DM16" s="755">
        <v>10</v>
      </c>
      <c r="DN16" s="755">
        <v>11</v>
      </c>
      <c r="DO16" s="755">
        <v>12</v>
      </c>
      <c r="DP16" s="755">
        <v>13</v>
      </c>
      <c r="DQ16" s="755">
        <v>14</v>
      </c>
      <c r="DR16" s="755">
        <v>15</v>
      </c>
      <c r="DS16" s="755">
        <v>16</v>
      </c>
      <c r="DT16" s="755">
        <v>17</v>
      </c>
      <c r="DU16" s="755">
        <v>18</v>
      </c>
      <c r="DV16" s="755">
        <v>19</v>
      </c>
      <c r="DW16" s="755">
        <v>20</v>
      </c>
      <c r="DX16" s="755">
        <v>21</v>
      </c>
      <c r="DY16" s="755">
        <v>22</v>
      </c>
      <c r="DZ16" s="755">
        <v>23</v>
      </c>
      <c r="EB16" s="755"/>
      <c r="EC16" s="755"/>
      <c r="ED16" s="755"/>
      <c r="EE16" s="755"/>
      <c r="EF16" s="755" t="s">
        <v>1646</v>
      </c>
      <c r="EG16" s="755"/>
      <c r="EH16" s="755"/>
      <c r="EI16" s="755"/>
      <c r="EJ16" s="755"/>
      <c r="EK16" s="755"/>
      <c r="EL16" s="755"/>
      <c r="EM16" s="755"/>
      <c r="EN16" s="755"/>
      <c r="EO16" s="755"/>
      <c r="EP16" s="755"/>
      <c r="EQ16" s="755"/>
      <c r="ER16" s="755"/>
      <c r="ES16" s="755"/>
      <c r="ET16" s="755"/>
      <c r="EU16" s="755"/>
      <c r="EV16" s="755"/>
      <c r="EW16" s="755"/>
      <c r="EX16" s="755"/>
      <c r="EY16" s="755"/>
      <c r="EZ16" s="755"/>
      <c r="FA16" s="755"/>
      <c r="FB16" s="755"/>
      <c r="FC16" s="755"/>
      <c r="FD16" s="755"/>
      <c r="FE16" s="755"/>
      <c r="FF16" s="755"/>
      <c r="FG16" s="755"/>
      <c r="FH16" s="755"/>
      <c r="FI16" s="755"/>
      <c r="FJ16" s="755"/>
      <c r="FK16" s="755">
        <v>1</v>
      </c>
      <c r="FL16" s="755">
        <v>2</v>
      </c>
      <c r="FM16" s="755">
        <v>3</v>
      </c>
      <c r="FN16" s="755">
        <v>4</v>
      </c>
      <c r="FO16" s="755">
        <v>5</v>
      </c>
      <c r="FP16" s="755">
        <v>6</v>
      </c>
      <c r="FQ16" s="755">
        <v>7</v>
      </c>
      <c r="FR16" s="755">
        <v>8</v>
      </c>
      <c r="FS16" s="755">
        <v>9</v>
      </c>
      <c r="FT16" s="755">
        <v>10</v>
      </c>
      <c r="FU16" s="755">
        <v>11</v>
      </c>
      <c r="FV16" s="755">
        <v>12</v>
      </c>
      <c r="FW16" s="755">
        <v>13</v>
      </c>
      <c r="FX16" s="755">
        <v>14</v>
      </c>
      <c r="FY16" s="755">
        <v>15</v>
      </c>
      <c r="FZ16" s="755">
        <v>16</v>
      </c>
      <c r="GA16" s="755">
        <v>17</v>
      </c>
      <c r="GB16" s="755">
        <v>18</v>
      </c>
      <c r="GC16" s="755">
        <v>19</v>
      </c>
      <c r="GD16" s="755">
        <v>20</v>
      </c>
      <c r="GE16" s="755">
        <v>21</v>
      </c>
      <c r="GF16" s="755">
        <v>22</v>
      </c>
      <c r="GG16" s="755">
        <v>23</v>
      </c>
    </row>
    <row r="17" spans="1:189" s="46" customFormat="1" ht="23.25" customHeight="1" thickBot="1">
      <c r="A17" s="162"/>
      <c r="B17" s="1088" t="s">
        <v>1591</v>
      </c>
      <c r="C17" s="1089"/>
      <c r="D17" s="1090"/>
      <c r="E17" s="1085" t="s">
        <v>1707</v>
      </c>
      <c r="F17" s="1086"/>
      <c r="G17" s="1086"/>
      <c r="H17" s="1087"/>
      <c r="I17" s="1094" t="str">
        <f>IF(ISTEXT(F8),C8,IF(ISTEXT(F9),C9,IF(ISTEXT(F10),C10,IF(ISTEXT(F11),C11,IF(ISTEXT(F12),C12,"")))))</f>
        <v>Tenthill 14320222</v>
      </c>
      <c r="J17" s="1095"/>
      <c r="K17" s="1095"/>
      <c r="L17" s="1146" t="s">
        <v>1540</v>
      </c>
      <c r="M17" s="1147"/>
      <c r="N17" s="1147"/>
      <c r="O17" s="1147"/>
      <c r="P17" s="1147"/>
      <c r="Q17" s="1147"/>
      <c r="R17" s="779" t="s">
        <v>1611</v>
      </c>
      <c r="S17" s="798" t="s">
        <v>59</v>
      </c>
      <c r="T17" s="798" t="s">
        <v>605</v>
      </c>
      <c r="U17" s="802" t="s">
        <v>1528</v>
      </c>
      <c r="V17" s="801" t="str">
        <f>BA23</f>
        <v>High</v>
      </c>
      <c r="W17" s="800" t="s">
        <v>1611</v>
      </c>
      <c r="X17" s="798" t="s">
        <v>59</v>
      </c>
      <c r="Y17" s="798" t="s">
        <v>605</v>
      </c>
      <c r="Z17" s="799" t="s">
        <v>605</v>
      </c>
      <c r="AA17" s="161"/>
      <c r="AB17" s="162"/>
      <c r="AC17" s="161"/>
      <c r="AD17" s="161"/>
      <c r="AE17" s="161"/>
      <c r="AF17" s="161"/>
      <c r="AG17" s="161"/>
      <c r="AH17" s="161"/>
      <c r="AI17" s="161"/>
      <c r="AJ17" s="161"/>
      <c r="AK17" s="168"/>
      <c r="AL17" s="161"/>
      <c r="AM17" s="161">
        <v>3</v>
      </c>
      <c r="AN17" s="160">
        <f>SUM(AB9:AC9)</f>
        <v>1404</v>
      </c>
      <c r="AO17" s="160" t="b">
        <f>IF(AN17&gt;2100,)</f>
        <v>0</v>
      </c>
      <c r="AP17" s="103">
        <f>IF(AO17=0,3,)</f>
        <v>0</v>
      </c>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36">
        <f>'Quick Calculator'!AK26</f>
        <v>24.403675819467587</v>
      </c>
      <c r="BT17" s="36">
        <f>'Quick Calculator'!AK27</f>
        <v>7.3363213584430929</v>
      </c>
      <c r="BU17" s="36">
        <f>'Quick Calculator'!AK28</f>
        <v>31.576723317281619</v>
      </c>
      <c r="BV17" s="36">
        <f>'Quick Calculator'!AK29</f>
        <v>2.2510196371999172</v>
      </c>
      <c r="BW17" s="36">
        <f>'Quick Calculator'!AK30</f>
        <v>6.0558410632291178E-2</v>
      </c>
      <c r="CA17"/>
      <c r="CB17" s="46" t="s">
        <v>1627</v>
      </c>
      <c r="CC17"/>
      <c r="CD17"/>
      <c r="CE17"/>
      <c r="CF17"/>
      <c r="CG17"/>
      <c r="CH17"/>
      <c r="CI17"/>
      <c r="CJ17" s="755"/>
      <c r="CK17" s="755"/>
      <c r="CL17" s="755"/>
      <c r="CM17" s="755"/>
      <c r="CN17" s="755"/>
      <c r="CO17" s="755"/>
      <c r="CP17" s="755"/>
      <c r="CQ17" s="755"/>
      <c r="CR17" s="755"/>
      <c r="CS17" s="755"/>
      <c r="CT17" s="755"/>
      <c r="CU17" s="755"/>
      <c r="CX17" s="36">
        <f>'Quick Calculator'!BP26</f>
        <v>0</v>
      </c>
      <c r="CY17" s="36">
        <f>'Quick Calculator'!BP27</f>
        <v>0</v>
      </c>
      <c r="CZ17" s="36">
        <f>'Quick Calculator'!BP28</f>
        <v>0</v>
      </c>
      <c r="DA17" s="36">
        <f>'Quick Calculator'!BP29</f>
        <v>0</v>
      </c>
      <c r="DB17" s="36">
        <f>'Quick Calculator'!BP30</f>
        <v>0</v>
      </c>
      <c r="DC17" s="755"/>
      <c r="DD17" s="755"/>
      <c r="DE17" s="755"/>
      <c r="DF17" s="755"/>
      <c r="DG17" s="755" t="s">
        <v>1627</v>
      </c>
      <c r="DH17" s="755"/>
      <c r="DI17" s="755"/>
      <c r="DJ17" s="755"/>
      <c r="DK17" s="755"/>
      <c r="DL17" s="755"/>
      <c r="DM17" s="755"/>
      <c r="DN17" s="755"/>
      <c r="DO17" s="755"/>
      <c r="DP17" s="755"/>
      <c r="DQ17" s="755"/>
      <c r="DR17" s="755"/>
      <c r="DS17" s="755"/>
      <c r="DT17" s="755"/>
      <c r="DU17" s="755"/>
      <c r="DV17" s="755"/>
      <c r="DW17" s="755"/>
      <c r="DX17" s="755"/>
      <c r="DY17" s="755"/>
      <c r="DZ17" s="755"/>
      <c r="EB17" s="36">
        <f>'Quick Calculator'!CR28</f>
        <v>0</v>
      </c>
      <c r="EC17" s="36">
        <f>'Quick Calculator'!CR29</f>
        <v>0</v>
      </c>
      <c r="ED17" s="36">
        <f>'Quick Calculator'!CR30</f>
        <v>0</v>
      </c>
      <c r="EE17" s="755"/>
      <c r="EF17" s="755"/>
      <c r="EG17" s="755"/>
      <c r="EH17" s="755"/>
      <c r="EI17" s="755" t="s">
        <v>1627</v>
      </c>
      <c r="EJ17" s="755"/>
      <c r="EK17" s="755"/>
      <c r="EL17" s="755"/>
      <c r="EM17" s="755"/>
      <c r="EN17" s="755"/>
      <c r="EO17" s="755"/>
      <c r="EP17" s="755"/>
      <c r="EQ17" s="755"/>
      <c r="ER17" s="755"/>
      <c r="ES17" s="755"/>
      <c r="ET17" s="755"/>
      <c r="EU17" s="755"/>
      <c r="EV17" s="755"/>
      <c r="EW17" s="755"/>
      <c r="EX17" s="755"/>
      <c r="EY17" s="755"/>
      <c r="EZ17" s="755"/>
      <c r="FA17" s="755"/>
      <c r="FB17" s="755"/>
      <c r="FC17" s="755"/>
      <c r="FD17" s="755"/>
      <c r="FE17" s="36">
        <f>'Quick Calculator'!DW26</f>
        <v>0</v>
      </c>
      <c r="FF17" s="36">
        <f>'Quick Calculator'!DW27</f>
        <v>0</v>
      </c>
      <c r="FG17" s="36">
        <f>'Quick Calculator'!DW28</f>
        <v>0</v>
      </c>
      <c r="FH17" s="36">
        <f>'Quick Calculator'!DW29</f>
        <v>0</v>
      </c>
      <c r="FI17" s="36">
        <f>'Quick Calculator'!DW30</f>
        <v>0</v>
      </c>
      <c r="FJ17" s="755"/>
      <c r="FK17" s="755"/>
      <c r="FL17" s="755"/>
      <c r="FM17" s="755"/>
      <c r="FN17" s="755" t="s">
        <v>1627</v>
      </c>
      <c r="FO17" s="755"/>
      <c r="FP17" s="755"/>
      <c r="FQ17" s="755"/>
      <c r="FR17" s="755"/>
      <c r="FS17" s="755"/>
      <c r="FT17" s="755"/>
      <c r="FU17" s="755"/>
      <c r="FV17" s="755"/>
      <c r="FW17" s="755"/>
      <c r="FX17" s="755"/>
      <c r="FY17" s="755"/>
      <c r="FZ17" s="755"/>
      <c r="GA17" s="755"/>
      <c r="GB17" s="755"/>
      <c r="GC17" s="755"/>
      <c r="GD17" s="755"/>
      <c r="GE17" s="755"/>
      <c r="GF17" s="755"/>
      <c r="GG17" s="755"/>
    </row>
    <row r="18" spans="1:189" s="46" customFormat="1" ht="16.5" thickTop="1" thickBot="1">
      <c r="A18" s="162"/>
      <c r="B18" s="284"/>
      <c r="C18" s="285"/>
      <c r="D18" s="285"/>
      <c r="E18" s="285"/>
      <c r="F18" s="285"/>
      <c r="G18" s="285"/>
      <c r="H18" s="1101" t="s">
        <v>560</v>
      </c>
      <c r="I18" s="1101"/>
      <c r="J18" s="285"/>
      <c r="K18" s="285"/>
      <c r="L18" s="284"/>
      <c r="M18" s="285"/>
      <c r="N18" s="285"/>
      <c r="O18" s="1109" t="s">
        <v>914</v>
      </c>
      <c r="P18" s="1110"/>
      <c r="Q18" s="1111"/>
      <c r="R18" s="787">
        <f>IF(ISNUMBER(BC78),BC78,"")</f>
        <v>4.2977952616334081</v>
      </c>
      <c r="S18" s="812">
        <f>IF(ISNUMBER(CZ25),CZ25,"")</f>
        <v>2.940084125781683</v>
      </c>
      <c r="T18" s="813">
        <f>IF(ISNUMBER(FG25),FG25,"")</f>
        <v>3.1993637952200089</v>
      </c>
      <c r="U18" s="788" t="s">
        <v>13</v>
      </c>
      <c r="V18" s="789"/>
      <c r="W18" s="790">
        <f>IF(ISNUMBER(AQ78),AQ78,"")</f>
        <v>7.7109788435313405E-3</v>
      </c>
      <c r="X18" s="824"/>
      <c r="Y18" s="824"/>
      <c r="Z18" s="825"/>
      <c r="AA18" s="784"/>
      <c r="AD18" s="161"/>
      <c r="AE18" s="161"/>
      <c r="AF18" s="161"/>
      <c r="AG18" s="161"/>
      <c r="AH18" s="161"/>
      <c r="AI18" s="161"/>
      <c r="AJ18" s="161"/>
      <c r="AK18" s="168"/>
      <c r="AL18" s="161"/>
      <c r="AM18" s="161"/>
      <c r="AO18" s="103">
        <f>COUNTIF(AO14:AO17,0)</f>
        <v>0</v>
      </c>
      <c r="AP18" s="103" t="str">
        <f>IF(AO18=1,SUM(AP14:AP17),"")</f>
        <v/>
      </c>
      <c r="CA18"/>
      <c r="CB18" t="s">
        <v>1602</v>
      </c>
      <c r="CC18"/>
      <c r="CD18"/>
      <c r="CE18"/>
      <c r="CF18"/>
      <c r="CG18"/>
      <c r="CH18"/>
      <c r="CI18"/>
      <c r="CJ18" s="755" t="s">
        <v>1630</v>
      </c>
      <c r="CK18" s="755" t="s">
        <v>1632</v>
      </c>
      <c r="CL18" s="755"/>
      <c r="CM18" s="755"/>
      <c r="CN18" s="755"/>
      <c r="CO18" s="755"/>
      <c r="CP18" s="755"/>
      <c r="CQ18" s="755"/>
      <c r="CR18" s="755"/>
      <c r="CS18" s="755"/>
      <c r="CT18" s="755"/>
      <c r="CU18" s="755"/>
      <c r="CX18" s="755"/>
      <c r="CY18" s="755"/>
      <c r="CZ18" s="755"/>
      <c r="DA18" s="755"/>
      <c r="DB18" s="755"/>
      <c r="DC18" s="755"/>
      <c r="DD18" s="755"/>
      <c r="DE18" s="755"/>
      <c r="DF18" s="755"/>
      <c r="DG18" s="755" t="s">
        <v>1602</v>
      </c>
      <c r="DH18" s="755"/>
      <c r="DI18" s="755"/>
      <c r="DJ18" s="755"/>
      <c r="DK18" s="755"/>
      <c r="DL18" s="755"/>
      <c r="DM18" s="755"/>
      <c r="DN18" s="755"/>
      <c r="DO18" s="755" t="s">
        <v>1630</v>
      </c>
      <c r="DP18" s="755" t="s">
        <v>1632</v>
      </c>
      <c r="DQ18" s="755"/>
      <c r="DR18" s="755"/>
      <c r="DS18" s="755"/>
      <c r="DT18" s="755"/>
      <c r="DU18" s="755"/>
      <c r="DV18" s="755"/>
      <c r="DW18" s="755"/>
      <c r="DX18" s="755"/>
      <c r="DY18" s="755"/>
      <c r="DZ18" s="755"/>
      <c r="EB18" s="755"/>
      <c r="EC18" s="755"/>
      <c r="ED18" s="755"/>
      <c r="EE18" s="755"/>
      <c r="EF18" s="755"/>
      <c r="EG18" s="755"/>
      <c r="EH18" s="755"/>
      <c r="EI18" s="755" t="s">
        <v>1602</v>
      </c>
      <c r="EJ18" s="755"/>
      <c r="EK18" s="755"/>
      <c r="EL18" s="755"/>
      <c r="EM18" s="755"/>
      <c r="EN18" s="755"/>
      <c r="EO18" s="755"/>
      <c r="EP18" s="755"/>
      <c r="EQ18" s="755" t="s">
        <v>1630</v>
      </c>
      <c r="ER18" s="755" t="s">
        <v>1632</v>
      </c>
      <c r="ES18" s="755"/>
      <c r="ET18" s="755"/>
      <c r="EU18" s="755"/>
      <c r="EV18" s="755"/>
      <c r="EW18" s="755"/>
      <c r="EX18" s="755"/>
      <c r="EY18" s="755"/>
      <c r="EZ18" s="755"/>
      <c r="FA18" s="755"/>
      <c r="FB18" s="755"/>
      <c r="FC18" s="755"/>
      <c r="FD18" s="755"/>
      <c r="FE18" s="755"/>
      <c r="FF18" s="755"/>
      <c r="FG18" s="755"/>
      <c r="FH18" s="755"/>
      <c r="FI18" s="755"/>
      <c r="FJ18" s="755"/>
      <c r="FK18" s="755"/>
      <c r="FL18" s="755"/>
      <c r="FM18" s="755"/>
      <c r="FN18" s="755" t="s">
        <v>1602</v>
      </c>
      <c r="FO18" s="755"/>
      <c r="FP18" s="755"/>
      <c r="FQ18" s="755"/>
      <c r="FR18" s="755"/>
      <c r="FS18" s="755"/>
      <c r="FT18" s="755"/>
      <c r="FU18" s="755"/>
      <c r="FV18" s="755" t="s">
        <v>1630</v>
      </c>
      <c r="FW18" s="755" t="s">
        <v>1632</v>
      </c>
      <c r="FX18" s="755"/>
      <c r="FY18" s="755"/>
      <c r="FZ18" s="755"/>
      <c r="GA18" s="755"/>
      <c r="GB18" s="755"/>
      <c r="GC18" s="755"/>
      <c r="GD18" s="755"/>
      <c r="GE18" s="755"/>
      <c r="GF18" s="755"/>
      <c r="GG18" s="755"/>
    </row>
    <row r="19" spans="1:189" s="46" customFormat="1" ht="16.5" customHeight="1" thickBot="1">
      <c r="A19" s="162"/>
      <c r="B19" s="286" t="s">
        <v>465</v>
      </c>
      <c r="C19" s="287"/>
      <c r="D19" s="288" t="s">
        <v>110</v>
      </c>
      <c r="E19" s="1092" t="s">
        <v>904</v>
      </c>
      <c r="F19" s="1093"/>
      <c r="G19" s="288" t="s">
        <v>110</v>
      </c>
      <c r="H19" s="289" t="s">
        <v>67</v>
      </c>
      <c r="I19" s="289" t="s">
        <v>559</v>
      </c>
      <c r="J19" s="288" t="s">
        <v>110</v>
      </c>
      <c r="K19" s="290" t="s">
        <v>110</v>
      </c>
      <c r="L19" s="403" t="s">
        <v>67</v>
      </c>
      <c r="M19" s="646" t="s">
        <v>67</v>
      </c>
      <c r="N19" s="416"/>
      <c r="O19" s="1056" t="s">
        <v>915</v>
      </c>
      <c r="P19" s="1057"/>
      <c r="Q19" s="1058"/>
      <c r="R19" s="782">
        <f>IF(ISNUMBER(BC79),BC79,"")</f>
        <v>2.3450688288332429</v>
      </c>
      <c r="S19" s="844">
        <f>IF(ISNUMBER(CZ26),CZ26,"")</f>
        <v>1.8721344002754694</v>
      </c>
      <c r="T19" s="845">
        <f>IF(ISNUMBER(FG26),FG26,"")</f>
        <v>1.9742299793935443</v>
      </c>
      <c r="U19" s="756" t="s">
        <v>1057</v>
      </c>
      <c r="V19" s="757"/>
      <c r="W19" s="804">
        <f>IF(ISNUMBER(AQ79),AQ79,"")</f>
        <v>6.1687830748250727</v>
      </c>
      <c r="X19" s="816"/>
      <c r="Y19" s="816"/>
      <c r="Z19" s="817"/>
      <c r="AA19" s="784"/>
      <c r="AB19" s="161"/>
      <c r="AC19" s="161"/>
      <c r="AD19" s="161"/>
      <c r="AE19" s="161"/>
      <c r="AF19" s="161"/>
      <c r="AG19" s="161"/>
      <c r="AH19" s="161"/>
      <c r="AI19" s="161"/>
      <c r="AJ19" s="161"/>
      <c r="AK19" s="168"/>
      <c r="AL19" s="161"/>
      <c r="AM19" s="161"/>
      <c r="AN19" s="5"/>
      <c r="AO19" s="5"/>
      <c r="AP19" s="5"/>
      <c r="AQ19" s="5"/>
      <c r="AR19" s="5"/>
      <c r="AS19" s="5"/>
      <c r="AU19" s="5" t="s">
        <v>561</v>
      </c>
      <c r="AV19" s="5"/>
      <c r="AW19" s="5"/>
      <c r="AX19" s="5" t="s">
        <v>1584</v>
      </c>
      <c r="AY19" s="5"/>
      <c r="AZ19" s="5"/>
      <c r="BA19" s="5"/>
      <c r="BB19" s="5"/>
      <c r="BC19" s="5"/>
      <c r="BD19" s="5">
        <v>1</v>
      </c>
      <c r="BE19" s="5">
        <v>2</v>
      </c>
      <c r="BF19" s="5">
        <v>3</v>
      </c>
      <c r="BG19" s="5">
        <v>4</v>
      </c>
      <c r="BH19" s="5">
        <v>5</v>
      </c>
      <c r="BI19" s="5"/>
      <c r="BY19" s="46" t="s">
        <v>1625</v>
      </c>
      <c r="CA19"/>
      <c r="CB19" s="46" t="s">
        <v>477</v>
      </c>
      <c r="CF19" t="s">
        <v>1619</v>
      </c>
      <c r="CG19" t="s">
        <v>1616</v>
      </c>
      <c r="CH19" t="s">
        <v>1617</v>
      </c>
      <c r="CI19" t="s">
        <v>1618</v>
      </c>
      <c r="CJ19" s="755" t="s">
        <v>1629</v>
      </c>
      <c r="CK19" s="755" t="s">
        <v>1631</v>
      </c>
      <c r="CL19" s="755" t="s">
        <v>1633</v>
      </c>
      <c r="CM19" s="755" t="s">
        <v>1634</v>
      </c>
      <c r="CN19" s="46" t="s">
        <v>1635</v>
      </c>
      <c r="CO19" s="755" t="s">
        <v>1636</v>
      </c>
      <c r="CP19" s="755" t="s">
        <v>1638</v>
      </c>
      <c r="CQ19" s="755" t="s">
        <v>1639</v>
      </c>
      <c r="CR19" s="755" t="s">
        <v>1640</v>
      </c>
      <c r="CS19" s="755" t="s">
        <v>1641</v>
      </c>
      <c r="CT19" s="46" t="s">
        <v>1616</v>
      </c>
      <c r="CU19" s="46" t="s">
        <v>1642</v>
      </c>
      <c r="CW19" s="755"/>
      <c r="CX19" s="755"/>
      <c r="CY19" s="755"/>
      <c r="CZ19" s="755"/>
      <c r="DA19" s="755"/>
      <c r="DB19" s="755"/>
      <c r="DC19" s="755"/>
      <c r="DD19" s="755" t="s">
        <v>1625</v>
      </c>
      <c r="DE19" s="755"/>
      <c r="DF19" s="755"/>
      <c r="DG19" s="755" t="s">
        <v>477</v>
      </c>
      <c r="DH19" s="755"/>
      <c r="DI19" s="755"/>
      <c r="DJ19" s="755"/>
      <c r="DK19" s="755" t="s">
        <v>1619</v>
      </c>
      <c r="DL19" s="755" t="s">
        <v>1616</v>
      </c>
      <c r="DM19" s="755" t="s">
        <v>1617</v>
      </c>
      <c r="DN19" s="755" t="s">
        <v>1618</v>
      </c>
      <c r="DO19" s="755" t="s">
        <v>1629</v>
      </c>
      <c r="DP19" s="755" t="s">
        <v>1631</v>
      </c>
      <c r="DQ19" s="755" t="s">
        <v>1633</v>
      </c>
      <c r="DR19" s="755" t="s">
        <v>1634</v>
      </c>
      <c r="DS19" s="755" t="s">
        <v>1635</v>
      </c>
      <c r="DT19" s="755" t="s">
        <v>1636</v>
      </c>
      <c r="DU19" s="755" t="s">
        <v>1638</v>
      </c>
      <c r="DV19" s="755" t="s">
        <v>1639</v>
      </c>
      <c r="DW19" s="755" t="s">
        <v>1640</v>
      </c>
      <c r="DX19" s="755" t="s">
        <v>1641</v>
      </c>
      <c r="DY19" s="755" t="s">
        <v>1616</v>
      </c>
      <c r="DZ19" s="755" t="s">
        <v>1642</v>
      </c>
      <c r="EB19" s="755"/>
      <c r="EC19" s="755"/>
      <c r="ED19" s="755"/>
      <c r="EE19" s="755"/>
      <c r="EF19" s="755" t="s">
        <v>1625</v>
      </c>
      <c r="EG19" s="755"/>
      <c r="EH19" s="755"/>
      <c r="EI19" s="755" t="s">
        <v>477</v>
      </c>
      <c r="EJ19" s="755"/>
      <c r="EK19" s="755"/>
      <c r="EL19" s="755"/>
      <c r="EM19" s="755" t="s">
        <v>1619</v>
      </c>
      <c r="EN19" s="755" t="s">
        <v>1616</v>
      </c>
      <c r="EO19" s="755" t="s">
        <v>1617</v>
      </c>
      <c r="EP19" s="755" t="s">
        <v>1618</v>
      </c>
      <c r="EQ19" s="755" t="s">
        <v>1629</v>
      </c>
      <c r="ER19" s="755" t="s">
        <v>1631</v>
      </c>
      <c r="ES19" s="755" t="s">
        <v>1633</v>
      </c>
      <c r="ET19" s="755" t="s">
        <v>1634</v>
      </c>
      <c r="EU19" s="755" t="s">
        <v>1635</v>
      </c>
      <c r="EV19" s="755" t="s">
        <v>1636</v>
      </c>
      <c r="EW19" s="755" t="s">
        <v>1638</v>
      </c>
      <c r="EX19" s="755" t="s">
        <v>1639</v>
      </c>
      <c r="EY19" s="755" t="s">
        <v>1640</v>
      </c>
      <c r="EZ19" s="755" t="s">
        <v>1641</v>
      </c>
      <c r="FA19" s="755" t="s">
        <v>1616</v>
      </c>
      <c r="FB19" s="755" t="s">
        <v>1642</v>
      </c>
      <c r="FC19" s="755"/>
      <c r="FD19" s="755"/>
      <c r="FE19" s="755"/>
      <c r="FF19" s="755"/>
      <c r="FG19" s="755"/>
      <c r="FH19" s="755"/>
      <c r="FI19" s="755"/>
      <c r="FJ19" s="755"/>
      <c r="FK19" s="755" t="s">
        <v>1625</v>
      </c>
      <c r="FL19" s="755"/>
      <c r="FM19" s="755"/>
      <c r="FN19" s="755" t="s">
        <v>477</v>
      </c>
      <c r="FO19" s="755"/>
      <c r="FP19" s="755"/>
      <c r="FQ19" s="755"/>
      <c r="FR19" s="755" t="s">
        <v>1619</v>
      </c>
      <c r="FS19" s="755" t="s">
        <v>1642</v>
      </c>
      <c r="FT19" s="755" t="s">
        <v>1617</v>
      </c>
      <c r="FU19" s="755" t="s">
        <v>1618</v>
      </c>
      <c r="FV19" s="755" t="s">
        <v>1629</v>
      </c>
      <c r="FW19" s="755" t="s">
        <v>1631</v>
      </c>
      <c r="FX19" s="755" t="s">
        <v>1633</v>
      </c>
      <c r="FY19" s="755" t="s">
        <v>1634</v>
      </c>
      <c r="FZ19" s="755" t="s">
        <v>1635</v>
      </c>
      <c r="GA19" s="755" t="s">
        <v>1636</v>
      </c>
      <c r="GB19" s="755" t="s">
        <v>1638</v>
      </c>
      <c r="GC19" s="755" t="s">
        <v>1639</v>
      </c>
      <c r="GD19" s="755" t="s">
        <v>1640</v>
      </c>
      <c r="GE19" s="755" t="s">
        <v>1641</v>
      </c>
      <c r="GF19" s="755" t="s">
        <v>1616</v>
      </c>
      <c r="GG19" s="755" t="s">
        <v>1642</v>
      </c>
    </row>
    <row r="20" spans="1:189" s="46" customFormat="1" ht="16" thickTop="1">
      <c r="A20" s="162"/>
      <c r="B20" s="325" t="s">
        <v>513</v>
      </c>
      <c r="C20" s="326" t="s">
        <v>870</v>
      </c>
      <c r="D20" s="326" t="s">
        <v>8</v>
      </c>
      <c r="E20" s="326" t="s">
        <v>4</v>
      </c>
      <c r="F20" s="326" t="s">
        <v>9</v>
      </c>
      <c r="G20" s="326" t="s">
        <v>10</v>
      </c>
      <c r="H20" s="326" t="s">
        <v>92</v>
      </c>
      <c r="I20" s="326" t="s">
        <v>558</v>
      </c>
      <c r="J20" s="326" t="s">
        <v>100</v>
      </c>
      <c r="K20" s="327" t="s">
        <v>568</v>
      </c>
      <c r="L20" s="328" t="s">
        <v>95</v>
      </c>
      <c r="M20" s="329" t="s">
        <v>658</v>
      </c>
      <c r="N20" s="401" t="s">
        <v>910</v>
      </c>
      <c r="O20" s="1056" t="s">
        <v>1051</v>
      </c>
      <c r="P20" s="1057"/>
      <c r="Q20" s="1058"/>
      <c r="R20" s="1098" t="s">
        <v>1729</v>
      </c>
      <c r="S20" s="1099"/>
      <c r="T20" s="1100"/>
      <c r="U20" s="756" t="s">
        <v>536</v>
      </c>
      <c r="V20" s="757"/>
      <c r="W20" s="805">
        <f t="shared" ref="W20:W28" si="5">IF(ISNUMBER(AQ102),AQ102,"")</f>
        <v>0.17853822722220389</v>
      </c>
      <c r="X20" s="826">
        <f>IF(ISNUMBER(CZ29),CZ29,"")</f>
        <v>0.6094216822115891</v>
      </c>
      <c r="Y20" s="826"/>
      <c r="Z20" s="827">
        <f>IF(ISNUMBER(FG29),FG29,"")</f>
        <v>0.48971802448845358</v>
      </c>
      <c r="AA20" s="694"/>
      <c r="AB20" s="161"/>
      <c r="AC20" s="161"/>
      <c r="AD20" s="161"/>
      <c r="AE20" s="161"/>
      <c r="AF20" s="161"/>
      <c r="AG20" s="161"/>
      <c r="AH20" s="161"/>
      <c r="AI20" s="161"/>
      <c r="AJ20" s="161"/>
      <c r="AK20" s="168"/>
      <c r="AL20" s="161"/>
      <c r="AM20" s="161"/>
      <c r="AN20" s="64" t="s">
        <v>466</v>
      </c>
      <c r="AO20" s="64" t="s">
        <v>469</v>
      </c>
      <c r="AP20" s="64" t="s">
        <v>573</v>
      </c>
      <c r="AQ20" s="64" t="s">
        <v>467</v>
      </c>
      <c r="AR20" s="64" t="s">
        <v>468</v>
      </c>
      <c r="AS20" s="64" t="s">
        <v>10</v>
      </c>
      <c r="AT20" s="64" t="s">
        <v>517</v>
      </c>
      <c r="AU20" s="64" t="s">
        <v>562</v>
      </c>
      <c r="AV20" s="64" t="s">
        <v>563</v>
      </c>
      <c r="AW20" s="64" t="s">
        <v>564</v>
      </c>
      <c r="AX20" s="64" t="s">
        <v>1586</v>
      </c>
      <c r="AY20" s="64" t="s">
        <v>1585</v>
      </c>
      <c r="BA20" s="46" t="s">
        <v>477</v>
      </c>
      <c r="BB20" s="50"/>
      <c r="BC20" s="46" t="s">
        <v>1532</v>
      </c>
      <c r="BD20" s="46" t="s">
        <v>1558</v>
      </c>
      <c r="BE20" s="46" t="s">
        <v>1559</v>
      </c>
      <c r="BF20" s="46" t="s">
        <v>1560</v>
      </c>
      <c r="BG20" s="46" t="s">
        <v>1561</v>
      </c>
      <c r="BH20" s="46" t="s">
        <v>1562</v>
      </c>
      <c r="BI20" s="64"/>
      <c r="BZ20" s="46" t="s">
        <v>1620</v>
      </c>
      <c r="CA20"/>
      <c r="CB20" t="s">
        <v>1626</v>
      </c>
      <c r="CC20" t="s">
        <v>1611</v>
      </c>
      <c r="CD20" t="s">
        <v>59</v>
      </c>
      <c r="CE20" t="s">
        <v>1612</v>
      </c>
      <c r="CF20" t="s">
        <v>1613</v>
      </c>
      <c r="CG20" t="s">
        <v>1614</v>
      </c>
      <c r="CH20" t="s">
        <v>1615</v>
      </c>
      <c r="CI20"/>
      <c r="CJ20" s="755"/>
      <c r="CK20" s="755"/>
      <c r="CL20" s="755"/>
      <c r="CM20" s="755"/>
      <c r="CN20" s="755"/>
      <c r="CO20" s="755"/>
      <c r="CP20" s="755"/>
      <c r="CQ20" s="755"/>
      <c r="CR20" s="755"/>
      <c r="CS20" s="755"/>
      <c r="CT20" s="755"/>
      <c r="CU20" s="755"/>
      <c r="CX20" s="755"/>
      <c r="CY20" s="755"/>
      <c r="CZ20" s="755"/>
      <c r="DA20" s="755"/>
      <c r="DB20" s="755"/>
      <c r="DC20" s="755"/>
      <c r="DD20" s="755"/>
      <c r="DE20" s="755" t="s">
        <v>1620</v>
      </c>
      <c r="DF20" s="755"/>
      <c r="DG20" s="755" t="s">
        <v>1626</v>
      </c>
      <c r="DH20" s="755" t="s">
        <v>1611</v>
      </c>
      <c r="DI20" s="755" t="s">
        <v>59</v>
      </c>
      <c r="DJ20" s="755" t="s">
        <v>1612</v>
      </c>
      <c r="DK20" s="755" t="s">
        <v>1613</v>
      </c>
      <c r="DL20" s="755" t="s">
        <v>1614</v>
      </c>
      <c r="DM20" s="755" t="s">
        <v>1615</v>
      </c>
      <c r="DN20" s="755"/>
      <c r="DO20" s="755"/>
      <c r="DP20" s="755"/>
      <c r="DQ20" s="755"/>
      <c r="DR20" s="755"/>
      <c r="DS20" s="755"/>
      <c r="DT20" s="755"/>
      <c r="DU20" s="755"/>
      <c r="DV20" s="755"/>
      <c r="DW20" s="755"/>
      <c r="DX20" s="755"/>
      <c r="DY20" s="755"/>
      <c r="DZ20" s="755"/>
      <c r="EB20" s="755"/>
      <c r="EC20" s="755"/>
      <c r="ED20" s="755"/>
      <c r="EE20" s="755"/>
      <c r="EF20" s="755"/>
      <c r="EG20" s="755" t="s">
        <v>1620</v>
      </c>
      <c r="EH20" s="755"/>
      <c r="EI20" s="755" t="s">
        <v>1626</v>
      </c>
      <c r="EJ20" s="755" t="s">
        <v>1611</v>
      </c>
      <c r="EK20" s="755" t="s">
        <v>59</v>
      </c>
      <c r="EL20" s="755" t="s">
        <v>1612</v>
      </c>
      <c r="EM20" s="755" t="s">
        <v>1613</v>
      </c>
      <c r="EN20" s="755" t="s">
        <v>1647</v>
      </c>
      <c r="EO20" s="755" t="s">
        <v>1615</v>
      </c>
      <c r="EP20" s="755"/>
      <c r="EQ20" s="755"/>
      <c r="ER20" s="755"/>
      <c r="ES20" s="755"/>
      <c r="ET20" s="755"/>
      <c r="EU20" s="755"/>
      <c r="EV20" s="755"/>
      <c r="EW20" s="755"/>
      <c r="EX20" s="755"/>
      <c r="EY20" s="755"/>
      <c r="EZ20" s="755"/>
      <c r="FA20" s="755"/>
      <c r="FB20" s="755"/>
      <c r="FC20" s="755"/>
      <c r="FD20" s="755"/>
      <c r="FE20" s="755"/>
      <c r="FF20" s="755"/>
      <c r="FG20" s="755"/>
      <c r="FH20" s="755"/>
      <c r="FI20" s="755"/>
      <c r="FJ20" s="755"/>
      <c r="FK20" s="755"/>
      <c r="FL20" s="755" t="s">
        <v>1620</v>
      </c>
      <c r="FM20" s="755"/>
      <c r="FN20" s="755" t="s">
        <v>1626</v>
      </c>
      <c r="FO20" s="755" t="s">
        <v>1611</v>
      </c>
      <c r="FP20" s="755" t="s">
        <v>59</v>
      </c>
      <c r="FQ20" s="755" t="s">
        <v>1612</v>
      </c>
      <c r="FR20" s="755" t="s">
        <v>1613</v>
      </c>
      <c r="FS20" s="755" t="s">
        <v>1614</v>
      </c>
      <c r="FT20" s="755" t="s">
        <v>1615</v>
      </c>
      <c r="FU20" s="755"/>
      <c r="FV20" s="755"/>
      <c r="FW20" s="755"/>
      <c r="FX20" s="755"/>
      <c r="FY20" s="755"/>
      <c r="FZ20" s="755"/>
      <c r="GA20" s="755"/>
      <c r="GB20" s="755"/>
      <c r="GC20" s="755"/>
      <c r="GD20" s="755"/>
      <c r="GE20" s="755"/>
      <c r="GF20" s="755"/>
      <c r="GG20" s="755"/>
    </row>
    <row r="21" spans="1:189" s="46" customFormat="1" ht="15.5">
      <c r="A21" s="162"/>
      <c r="B21" s="292">
        <v>1</v>
      </c>
      <c r="C21" s="675">
        <v>0.1</v>
      </c>
      <c r="D21" s="869">
        <v>33</v>
      </c>
      <c r="E21" s="869">
        <v>19.399999999999999</v>
      </c>
      <c r="F21" s="869">
        <v>0.4</v>
      </c>
      <c r="G21" s="869">
        <v>2.4</v>
      </c>
      <c r="H21" s="869">
        <v>3.4000000000000002E-2</v>
      </c>
      <c r="I21" s="869">
        <v>20</v>
      </c>
      <c r="J21" s="675"/>
      <c r="K21" s="871">
        <v>13.7</v>
      </c>
      <c r="L21" s="304">
        <f>IF(ISNUMBER(AW21),AY21*((500+6*AW21)/(6.57*AW21+30.34))^(1/(((1.024+0.232*LN(AY21/(10^(0.92*LOG(56.42*AV21)-0.865))))))),"")</f>
        <v>0.22375773249345424</v>
      </c>
      <c r="M21" s="413">
        <f>IF(ISNUMBER(L21),L21*2.2,"")</f>
        <v>0.49226701148559937</v>
      </c>
      <c r="N21" s="296">
        <f>IF(ISNUMBER(M21),0.03/M21,"")</f>
        <v>6.0942535859682748E-2</v>
      </c>
      <c r="O21" s="1056" t="s">
        <v>927</v>
      </c>
      <c r="P21" s="1057"/>
      <c r="Q21" s="1058"/>
      <c r="R21" s="782">
        <f>IF(ISNUMBER(AW78),AW78,"")</f>
        <v>1.6619136591601928</v>
      </c>
      <c r="S21" s="818"/>
      <c r="T21" s="848"/>
      <c r="U21" s="756" t="s">
        <v>922</v>
      </c>
      <c r="V21" s="757"/>
      <c r="W21" s="806">
        <f t="shared" si="5"/>
        <v>223.17278402775486</v>
      </c>
      <c r="X21" s="849">
        <f t="shared" ref="X21:X22" si="6">IF(ISNUMBER(CZ30),CZ30,"")</f>
        <v>761.77710276448636</v>
      </c>
      <c r="Y21" s="820"/>
      <c r="Z21" s="850">
        <f t="shared" ref="Z21:Z22" si="7">IF(ISNUMBER(FG30),FG30,"")</f>
        <v>612.14753061056695</v>
      </c>
      <c r="AA21" s="694"/>
      <c r="AB21" s="161"/>
      <c r="AC21" s="161"/>
      <c r="AD21" s="161"/>
      <c r="AE21" s="161"/>
      <c r="AF21" s="161"/>
      <c r="AG21" s="161"/>
      <c r="AH21" s="161"/>
      <c r="AI21" s="161"/>
      <c r="AJ21" s="161"/>
      <c r="AK21" s="168"/>
      <c r="AL21" s="161"/>
      <c r="AM21" s="161"/>
      <c r="AN21" s="5">
        <f>IF(ISNUMBER(C21),(C21*100)-100,"")</f>
        <v>-90</v>
      </c>
      <c r="AO21" s="5">
        <f>IF(ISNUMBER(C21),(C21*100)-30,"")</f>
        <v>-20</v>
      </c>
      <c r="AP21" s="59">
        <f>IF(ISNUMBER(C21),(C21*100)-10,"")</f>
        <v>0</v>
      </c>
      <c r="AQ21" s="5">
        <f>AVERAGE(D21)</f>
        <v>33</v>
      </c>
      <c r="AR21" s="31">
        <f>AVERAGE(E21)</f>
        <v>19.399999999999999</v>
      </c>
      <c r="AS21" s="46">
        <f>AVERAGE(AT21)</f>
        <v>2.4</v>
      </c>
      <c r="AT21" s="5">
        <f t="shared" ref="AT21:AT32" si="8">IF(ISNUMBER(G21),G21,IF(AND(ISNUMBER(F21),ISNUMBER(E21)),F21/E21*100,""))</f>
        <v>2.4</v>
      </c>
      <c r="AU21" s="5">
        <f>IF(OR((I$19="ppm"),(I$19="mg/kg")),I21/10000,I21)</f>
        <v>2E-3</v>
      </c>
      <c r="AV21" s="59">
        <f>IF(ISNUMBER(I21),AU21,"")</f>
        <v>2E-3</v>
      </c>
      <c r="AW21" s="737">
        <f>IF(ISNUMBER($J21),$J21,IF(AND(ISBLANK($J21),ISNUMBER($E21)),(1.34+0.15*$E21),IF(AND(ISBLANK($J21),ISBLANK($E21),ISNUMBER($K21)),(-1.37+0.42*$K21),IF(AND(ISBLANK($J21),ISBLANK($E21),ISBLANK($K21),ISNUMBER($D21)),(0.59+0.016*($D21^1.5)),"No Data"))))</f>
        <v>4.25</v>
      </c>
      <c r="AX21" s="737">
        <f>IF((H$19="µS/cm"),H21/1000,IF(H$19="dS/m",H21,""))</f>
        <v>3.4000000000000002E-2</v>
      </c>
      <c r="AY21" s="737">
        <f>IF(ISNUMBER(H21),AX21,"")</f>
        <v>3.4000000000000002E-2</v>
      </c>
      <c r="BA21" s="46" t="s">
        <v>8</v>
      </c>
      <c r="BB21" s="5" t="s">
        <v>11</v>
      </c>
      <c r="BC21" s="46" t="s">
        <v>8</v>
      </c>
      <c r="BD21" s="46">
        <v>0</v>
      </c>
      <c r="BE21" s="46">
        <v>0.35</v>
      </c>
      <c r="BF21" s="46">
        <v>0.55000000000000004</v>
      </c>
      <c r="BG21" s="46">
        <v>0.75</v>
      </c>
      <c r="BH21" s="46">
        <v>0.95</v>
      </c>
      <c r="BI21" s="5"/>
      <c r="BS21" s="46" t="s">
        <v>1628</v>
      </c>
      <c r="BV21" s="46" t="s">
        <v>1621</v>
      </c>
      <c r="BZ21" s="46">
        <f>ABS((CC21-CB21))</f>
        <v>3.8258001612698158</v>
      </c>
      <c r="CA21"/>
      <c r="CB21">
        <f>V30</f>
        <v>7</v>
      </c>
      <c r="CC21" s="673">
        <f>CG21</f>
        <v>3.1741998387301842</v>
      </c>
      <c r="CD21" s="673">
        <f t="shared" ref="CD21:CD85" si="9">$X$7</f>
        <v>2</v>
      </c>
      <c r="CE21" t="b">
        <f>IF(CB21&lt;CD21,TRUE,FALSE)</f>
        <v>0</v>
      </c>
      <c r="CF21" s="673"/>
      <c r="CG21">
        <f>((100*(-0.0126+0.01475*($X$7*((1/CH21)^0.25))))/(1+(-0.0126+0.01475*($X$7*((1/CH21)^0.25)))))</f>
        <v>3.1741998387301842</v>
      </c>
      <c r="CH21">
        <f>CI21*(2.65*($W$7/0.03)^0.5-1.35)</f>
        <v>0.17853822722220389</v>
      </c>
      <c r="CI21">
        <f>((0.03/(2.2*(10^($AS$10+($AT$10*(LOG((0.03*($AB$7+$AC$7))/CB21))))))))</f>
        <v>1.1941342009441462E-2</v>
      </c>
      <c r="CJ21" s="755">
        <f>($W$7/(2.2*((0.976*CI21+0.022)^0.625)))</f>
        <v>4.2977952616334081</v>
      </c>
      <c r="CK21" s="755">
        <f>($W$7/(2.2*((0.956*CI21+0.037)^0.5)))</f>
        <v>2.3450688288332429</v>
      </c>
      <c r="CL21" s="755">
        <f>$X$7*((1/CH21)^0.25)</f>
        <v>3.0767852940185634</v>
      </c>
      <c r="CM21" s="755">
        <f>$X$7*((1/CI21)^0.25)</f>
        <v>6.0501579302052626</v>
      </c>
      <c r="CN21" s="755">
        <f>IF($R$30&lt;=40,$AF$7/(CH21^0.25)/SQRT((($AV$10+($AE$7/(CH21^0.25))))),IF($R$30&gt;40,$AF$7/(CH21^0.25)/SQRT((($AW$10+($AE$7/(CH21^0.25))))),""))</f>
        <v>2.0043782108714843</v>
      </c>
      <c r="CO21" s="755">
        <f>IF($R$30&lt;=40,$AF$7/(CI21^0.25)/SQRT((($AV$10+($AE$7/(CI21^0.25))))),IF($R$30&gt;40,$AF$7/(CI21^0.25)/SQRT((($AW$10+($AE$7/(CI21^0.25))))),""))</f>
        <v>2.8706470309646828</v>
      </c>
      <c r="CP21" s="755">
        <f>CH21*($AB$7+$AC$7)</f>
        <v>223.17278402775486</v>
      </c>
      <c r="CQ21" s="755">
        <f>CP21/$AQ$101</f>
        <v>36.177764936900999</v>
      </c>
      <c r="CR21" s="755">
        <f>$W$7/CH21</f>
        <v>6.3583021835831302</v>
      </c>
      <c r="CS21" s="755">
        <f>CR21/2.2</f>
        <v>2.8901373561741499</v>
      </c>
      <c r="CT21" s="755">
        <f>((100*(-0.0126+0.01475*($X$7*((1/CH21)^0.25))))/(1+(-0.0126+0.01475*($X$7*((1/CH21)^0.25)))))</f>
        <v>3.1741998387301842</v>
      </c>
      <c r="CU21" s="755">
        <f>((100*(-0.0126+0.01475*CO21)/(1+(-0.0126+0.01475*CO21))))</f>
        <v>2.888300413535374</v>
      </c>
      <c r="CX21" s="755" t="s">
        <v>1628</v>
      </c>
      <c r="CY21" s="755"/>
      <c r="CZ21" s="755"/>
      <c r="DA21" s="755" t="s">
        <v>1621</v>
      </c>
      <c r="DB21" s="755"/>
      <c r="DC21" s="755"/>
      <c r="DD21" s="755"/>
      <c r="DE21" s="755">
        <f>ABS((DH21-DG21))</f>
        <v>44.262590098312003</v>
      </c>
      <c r="DF21" s="755"/>
      <c r="DG21" s="755">
        <f>DJ14</f>
        <v>50</v>
      </c>
      <c r="DH21" s="673">
        <f>DL21</f>
        <v>5.7374099016879976</v>
      </c>
      <c r="DI21" s="673">
        <f>$DG$14</f>
        <v>2</v>
      </c>
      <c r="DJ21" s="755" t="b">
        <f>IF(DG21&lt;DI21,TRUE,FALSE)</f>
        <v>0</v>
      </c>
      <c r="DK21" s="673"/>
      <c r="DL21" s="755">
        <f>((100*(-0.0126+0.01475*($DG$14*((1/DM21)^0.25))))/(1+(-0.0126+0.01475*($DG$14*((1/DM21)^0.25)))))</f>
        <v>5.7374099016879976</v>
      </c>
      <c r="DM21" s="755">
        <f>DN21*(2.65*($DN$14/0.03)^0.5-1.35)</f>
        <v>2.5997805670030988E-2</v>
      </c>
      <c r="DN21" s="755">
        <f>((0.03/(2.2*(10^($AS$10+($AT$10*(LOG((0.03*($AB$7+$AC$7))/DG21))))))))</f>
        <v>1.7388359559236597E-3</v>
      </c>
      <c r="DO21" s="755">
        <f>($DN$14/(2.2*((0.976*DN21+0.022)^0.625)))</f>
        <v>5.3513721762922799</v>
      </c>
      <c r="DP21" s="755">
        <f>($DN$14/(2.2*((0.956*DN21+0.037)^0.5)))</f>
        <v>2.6242530208223878</v>
      </c>
      <c r="DQ21" s="755">
        <f>$DG$14*((1/DM21)^0.25)</f>
        <v>4.9807623717518501</v>
      </c>
      <c r="DR21" s="755">
        <f>$DG$14*((1/DN21)^0.25)</f>
        <v>9.794118237793624</v>
      </c>
      <c r="DS21" s="755">
        <f>IF($R$30&lt;=40,$AF$7/(DM21^0.25)/SQRT((($AV$10+($AE$7/(DM21^0.25))))),IF($R$30&gt;40,$AF$7/(DM21^0.25)/SQRT((($AW$10+($AE$7/(DM21^0.25))))),""))</f>
        <v>2.5922350102850396</v>
      </c>
      <c r="DT21" s="755">
        <f>IF($R$30&lt;=40,$AF$7/(DN21^0.25)/SQRT((($AV$10+($AE$7/(DN21^0.25))))),IF($R$30&gt;40,$AF$7/(DN21^0.25)/SQRT((($AW$10+($AE$7/(DN21^0.25))))),""))</f>
        <v>3.6839532624987661</v>
      </c>
      <c r="DU21" s="755">
        <f>DM21*($AB$7+$AC$7)</f>
        <v>32.497257087538735</v>
      </c>
      <c r="DV21" s="755">
        <f>DU21/$AQ$101</f>
        <v>5.2680174830852282</v>
      </c>
      <c r="DW21" s="755">
        <f>$DN$14/DM21</f>
        <v>43.66522368880554</v>
      </c>
      <c r="DX21" s="755">
        <f>DW21/2.2</f>
        <v>19.84782894945706</v>
      </c>
      <c r="DY21" s="755">
        <f>((100*(-0.0126+0.01475*($DG$14*((1/DM21)^0.25))))/(1+(-0.0126+0.01475*($DG$14*((1/DM21)^0.25)))))</f>
        <v>5.7374099016879976</v>
      </c>
      <c r="DZ21" s="755">
        <f>((100*(-0.0126+0.01475*DT21)/(1+(-0.0126+0.01475*DT21))))</f>
        <v>4.0066022528192775</v>
      </c>
      <c r="EB21" s="755"/>
      <c r="EC21" s="755" t="s">
        <v>1621</v>
      </c>
      <c r="ED21" s="755"/>
      <c r="EE21" s="755"/>
      <c r="EF21" s="755"/>
      <c r="EG21" s="755">
        <f>ABS((EJ21-EI21))</f>
        <v>3.8258001612698158</v>
      </c>
      <c r="EH21" s="755"/>
      <c r="EI21" s="755">
        <f>V30</f>
        <v>7</v>
      </c>
      <c r="EJ21" s="673">
        <f>EN21</f>
        <v>3.1741998387301842</v>
      </c>
      <c r="EK21" s="673">
        <f>$Z$7</f>
        <v>2.2510196371999172</v>
      </c>
      <c r="EL21" s="755" t="b">
        <f>IF(EI21&lt;EK21,TRUE,FALSE)</f>
        <v>0</v>
      </c>
      <c r="EM21" s="673"/>
      <c r="EN21" s="755">
        <f>((100*(-0.0126+0.01475*($X$7*((1/EO21)^0.25))))/(1+(-0.0126+0.01475*($X$7*((1/EO21)^0.25)))))</f>
        <v>3.1741998387301842</v>
      </c>
      <c r="EO21" s="755">
        <f>EP21*(2.65*($W$7/0.03)^0.5-1.35)</f>
        <v>0.17853822722220389</v>
      </c>
      <c r="EP21" s="755">
        <f>((0.03/(2.2*(10^($AS$10+($AT$10*(LOG((0.03*($AB$7+$AC$7))/EI21))))))))</f>
        <v>1.1941342009441462E-2</v>
      </c>
      <c r="EQ21" s="755">
        <f>($W$7/(2.2*((0.976*EP21+0.022)^0.625)))</f>
        <v>4.2977952616334081</v>
      </c>
      <c r="ER21" s="755">
        <f>($W$7/(2.2*((0.956*EP21+0.037)^0.5)))</f>
        <v>2.3450688288332429</v>
      </c>
      <c r="ES21" s="755">
        <f>$X$7*((1/EO21)^0.25)</f>
        <v>3.0767852940185634</v>
      </c>
      <c r="ET21" s="755">
        <f>$X$7*((1/EP21)^0.25)</f>
        <v>6.0501579302052626</v>
      </c>
      <c r="EU21" s="755">
        <f>IF($R$30&lt;=40,$AF$7/(EO21^0.25)/SQRT((($AV$10+($AE$7/(EO21^0.25))))),IF($R$30&gt;40,$AF$7/(EO21^0.25)/SQRT((($AW$10+($AE$7/(EO21^0.25))))),""))</f>
        <v>2.0043782108714843</v>
      </c>
      <c r="EV21" s="755">
        <f>IF($R$30&lt;=40,$AF$7/(EP21^0.25)/SQRT((($AV$10+($AE$7/(EP21^0.25))))),IF($R$30&gt;40,$AF$7/(EP21^0.25)/SQRT((($AW$10+($AE$7/(EP21^0.25))))),""))</f>
        <v>2.8706470309646828</v>
      </c>
      <c r="EW21" s="755">
        <f>EO21*($AB$7+$AC$7)</f>
        <v>223.17278402775486</v>
      </c>
      <c r="EX21" s="755">
        <f>EW21/$AQ$101</f>
        <v>36.177764936900999</v>
      </c>
      <c r="EY21" s="755">
        <f>$W$7/EO21</f>
        <v>6.3583021835831302</v>
      </c>
      <c r="EZ21" s="755">
        <f>EY21/2.2</f>
        <v>2.8901373561741499</v>
      </c>
      <c r="FA21" s="755">
        <f>((100*(-0.0126+0.01475*($X$7*((1/EO21)^0.25))))/(1+(-0.0126+0.01475*($X$7*((1/EO21)^0.25)))))</f>
        <v>3.1741998387301842</v>
      </c>
      <c r="FB21" s="755">
        <f>((100*(-0.0126+0.01475*EV21)/(1+(-0.0126+0.01475*EV21))))</f>
        <v>2.888300413535374</v>
      </c>
      <c r="FC21" s="755"/>
      <c r="FD21" s="755"/>
      <c r="FE21" s="755" t="s">
        <v>1628</v>
      </c>
      <c r="FF21" s="755"/>
      <c r="FG21" s="755"/>
      <c r="FH21" s="755" t="s">
        <v>1621</v>
      </c>
      <c r="FI21" s="755"/>
      <c r="FJ21" s="755"/>
      <c r="FK21" s="755"/>
      <c r="FL21" s="755">
        <f>ABS((FO21-FN21))</f>
        <v>45.993397747180722</v>
      </c>
      <c r="FM21" s="755"/>
      <c r="FN21" s="755">
        <f>DJ14</f>
        <v>50</v>
      </c>
      <c r="FO21" s="673">
        <f>FS21</f>
        <v>4.0066022528192775</v>
      </c>
      <c r="FP21" s="673">
        <f>$DQ$14</f>
        <v>2.2510196371999172</v>
      </c>
      <c r="FQ21" s="755" t="b">
        <f>IF(FN21&lt;FP21,TRUE,FALSE)</f>
        <v>0</v>
      </c>
      <c r="FR21" s="673"/>
      <c r="FS21" s="755">
        <f>GG21</f>
        <v>4.0066022528192775</v>
      </c>
      <c r="FT21" s="755">
        <f>FU21*(2.65*($DN$14/0.03)^0.5-1.35)</f>
        <v>2.5997805670030988E-2</v>
      </c>
      <c r="FU21" s="755">
        <f>((0.03/(2.2*(10^($AS$10+($AT$10*(LOG((0.03*($AB$7+$AC$7))/FN21))))))))</f>
        <v>1.7388359559236597E-3</v>
      </c>
      <c r="FV21" s="755">
        <f>($DN$14/(2.2*((0.976*FU21+0.022)^0.625)))</f>
        <v>5.3513721762922799</v>
      </c>
      <c r="FW21" s="755">
        <f>($DN$14/(2.2*((0.956*FU21+0.037)^0.5)))</f>
        <v>2.6242530208223878</v>
      </c>
      <c r="FX21" s="755">
        <f>$DQ$14*((1/FT21)^0.25)</f>
        <v>5.6058969535199239</v>
      </c>
      <c r="FY21" s="755">
        <f>$DQ$14*((1/FU21)^0.25)</f>
        <v>11.023376241165648</v>
      </c>
      <c r="FZ21" s="755">
        <f>IF($R$30&lt;=40,$AF$7/(FT21^0.25)/SQRT((($AV$10+($AE$7/(FT21^0.25))))),IF($R$30&gt;40,$AF$7/(FT21^0.25)/SQRT((($AW$10+($AE$7/(FT21^0.25))))),""))</f>
        <v>2.5922350102850396</v>
      </c>
      <c r="GA21" s="755">
        <f>IF($R$30&lt;=40,$AF$7/(FU21^0.25)/SQRT((($AV$10+($AE$7/(FU21^0.25))))),IF($R$30&gt;40,$AF$7/(FU21^0.25)/SQRT((($AW$10+($AE$7/(FU21^0.25))))),""))</f>
        <v>3.6839532624987661</v>
      </c>
      <c r="GB21" s="755">
        <f>FT21*($AB$7+$AC$7)</f>
        <v>32.497257087538735</v>
      </c>
      <c r="GC21" s="755">
        <f>GB21/$AQ$101</f>
        <v>5.2680174830852282</v>
      </c>
      <c r="GD21" s="755">
        <f>$DN$14/FT21</f>
        <v>43.66522368880554</v>
      </c>
      <c r="GE21" s="755">
        <f>GD21/2.2</f>
        <v>19.84782894945706</v>
      </c>
      <c r="GF21" s="755">
        <f>((100*(-0.0126+0.01475*($DQ$14*((1/FT21)^0.25))))/(1+(-0.0126+0.01475*($DQ$14*((1/FT21)^0.25)))))</f>
        <v>6.5496526329289289</v>
      </c>
      <c r="GG21" s="755">
        <f>((100*(-0.0126+0.01475*GA21)/(1+(-0.0126+0.01475*GA21))))</f>
        <v>4.0066022528192775</v>
      </c>
    </row>
    <row r="22" spans="1:189" s="46" customFormat="1" ht="15.5">
      <c r="A22" s="162"/>
      <c r="B22" s="292">
        <v>2</v>
      </c>
      <c r="C22" s="675">
        <v>0.2</v>
      </c>
      <c r="D22" s="869">
        <v>36</v>
      </c>
      <c r="E22" s="869">
        <v>20.2</v>
      </c>
      <c r="F22" s="869">
        <v>0.4</v>
      </c>
      <c r="G22" s="869">
        <v>1.8</v>
      </c>
      <c r="H22" s="869">
        <v>2.9000000000000001E-2</v>
      </c>
      <c r="I22" s="869">
        <v>10</v>
      </c>
      <c r="J22" s="675"/>
      <c r="K22" s="871">
        <v>14.4</v>
      </c>
      <c r="L22" s="304">
        <f t="shared" ref="L22:L32" si="10">IF(ISNUMBER(AW22),AY22*((500+6*AW22)/(6.57*AW22+30.34))^(1/(((1.024+0.232*LN(AY22/(10^(0.92*LOG(56.42*AV22)-0.865))))))),"")</f>
        <v>0.16051428667762976</v>
      </c>
      <c r="M22" s="413">
        <f t="shared" ref="M22:M32" si="11">IF(ISNUMBER(L22),L22*2.2,"")</f>
        <v>0.35313143069078551</v>
      </c>
      <c r="N22" s="296">
        <f t="shared" ref="N22:N32" si="12">IF(ISNUMBER(M22),0.03/M22,"")</f>
        <v>8.4954205127860935E-2</v>
      </c>
      <c r="O22" s="1056" t="s">
        <v>928</v>
      </c>
      <c r="P22" s="1057"/>
      <c r="Q22" s="1058"/>
      <c r="R22" s="804">
        <f>IF(ISNUMBER(AW79),AW79,"")</f>
        <v>2.018664352509878</v>
      </c>
      <c r="S22" s="818"/>
      <c r="T22" s="819"/>
      <c r="U22" s="756" t="s">
        <v>1524</v>
      </c>
      <c r="V22" s="757"/>
      <c r="W22" s="806">
        <f t="shared" si="5"/>
        <v>36.177764936900999</v>
      </c>
      <c r="X22" s="849">
        <f t="shared" si="6"/>
        <v>123.48904046785402</v>
      </c>
      <c r="Y22" s="820"/>
      <c r="Z22" s="850">
        <f t="shared" si="7"/>
        <v>99.233110191336323</v>
      </c>
      <c r="AA22" s="32"/>
      <c r="AB22" s="161"/>
      <c r="AC22" s="161"/>
      <c r="AD22" s="161"/>
      <c r="AE22" s="161"/>
      <c r="AF22" s="161"/>
      <c r="AG22" s="161"/>
      <c r="AH22" s="161"/>
      <c r="AI22" s="161"/>
      <c r="AJ22" s="161"/>
      <c r="AK22" s="168"/>
      <c r="AL22" s="161"/>
      <c r="AM22" s="161"/>
      <c r="AN22" s="160">
        <f t="shared" ref="AN22:AN32" si="13">IF(ISNUMBER(C22),(C22*100)-100,"")</f>
        <v>-80</v>
      </c>
      <c r="AO22" s="160">
        <f t="shared" ref="AO22:AO32" si="14">IF(ISNUMBER(C22),(C22*100)-30,"")</f>
        <v>-10</v>
      </c>
      <c r="AP22" s="160">
        <f t="shared" ref="AP22:AP32" si="15">IF(ISNUMBER(C22),(C22*100)-10,"")</f>
        <v>10</v>
      </c>
      <c r="AQ22" s="5">
        <f>AVERAGE(D21:D22)</f>
        <v>34.5</v>
      </c>
      <c r="AR22" s="31">
        <f>AVERAGE(E21:E22)</f>
        <v>19.799999999999997</v>
      </c>
      <c r="AS22" s="46">
        <f>AVERAGE(AT21:AT22)</f>
        <v>2.1</v>
      </c>
      <c r="AT22" s="46">
        <f t="shared" si="8"/>
        <v>1.8</v>
      </c>
      <c r="AU22" s="59">
        <f t="shared" ref="AU22:AU32" si="16">IF(OR((I$19="ppm"),(I$19="mg/kg")),I22/10000,I22)</f>
        <v>1E-3</v>
      </c>
      <c r="AV22" s="59">
        <f>IF(ISNUMBER(I22),AU22,"")</f>
        <v>1E-3</v>
      </c>
      <c r="AW22" s="730">
        <f t="shared" ref="AW22:AW32" si="17">IF(ISNUMBER($J22),$J22,IF(AND(ISBLANK($J22),ISNUMBER($E22)),(1.34+0.15*$E22),IF(AND(ISBLANK($J22),ISBLANK($E22),ISNUMBER($K22)),(-1.37+0.42*$K22),IF(AND(ISBLANK($J22),ISBLANK($E22),ISBLANK($K22),ISNUMBER($D22)),(0.59+0.016*($D22^1.5)),"No Data"))))</f>
        <v>4.37</v>
      </c>
      <c r="AX22" s="737">
        <f>IF((H$19="µS/cm"),H22/1000,IF(H$19="dS/m",H22,""))</f>
        <v>2.9000000000000001E-2</v>
      </c>
      <c r="AY22" s="737">
        <f t="shared" ref="AY22:AY32" si="18">IF(ISNUMBER(H22),AX22,"")</f>
        <v>2.9000000000000001E-2</v>
      </c>
      <c r="BA22" s="46">
        <f>IF(R30&lt;15,0,IF(AND(R30&gt;=15,R30&lt;25),15,IF(AND(R30&gt;=25,R30&lt;35),25,IF(AND(R30&gt;=35,R30&lt;45),35,IF(AND(R30&gt;=45,R30&lt;55),55,IF(AND(R30&lt;=55,R30&lt;65),55,IF(AND(R30&gt;=65,R30&lt;75),65,IF(R30&gt;=75,75,""))))))))</f>
        <v>25</v>
      </c>
      <c r="BB22" s="699">
        <f>IF(U30&lt;0.35,0,IF(AND(U30&gt;=0.35,U30&lt;0.55),0.35,IF(AND(U30&gt;=0.55,U30&lt;0.75),0.55,IF(AND(U30&gt;=0.75,U30&lt;0.95),0.75,IF(U30&gt;0.95,0.95,"")))))</f>
        <v>0.75</v>
      </c>
      <c r="BC22" s="5">
        <v>0</v>
      </c>
      <c r="BD22" s="46" t="s">
        <v>439</v>
      </c>
      <c r="BE22" s="46" t="s">
        <v>1563</v>
      </c>
      <c r="BF22" s="46" t="s">
        <v>1563</v>
      </c>
      <c r="BG22" s="46" t="s">
        <v>442</v>
      </c>
      <c r="BH22" s="46" t="s">
        <v>439</v>
      </c>
      <c r="BI22" s="5"/>
      <c r="BU22" s="752" t="e">
        <f>VLOOKUP(BU24,BZ22:CA121,2,FALSE)</f>
        <v>#N/A</v>
      </c>
      <c r="BV22" s="46" t="s">
        <v>1622</v>
      </c>
      <c r="BY22" s="46" t="b">
        <f>IF(BZ22&lt;0.2,TRUE,FALSE)</f>
        <v>0</v>
      </c>
      <c r="BZ22" s="753">
        <f t="shared" ref="BZ22:BZ85" si="19">ABS((CC22-CB22))</f>
        <v>4.2533245022920383</v>
      </c>
      <c r="CA22" s="46">
        <v>1</v>
      </c>
      <c r="CB22" s="46">
        <f>CB21+0.5</f>
        <v>7.5</v>
      </c>
      <c r="CC22" s="673">
        <f t="shared" ref="CC22:CC85" si="20">CG22</f>
        <v>3.2466754977079622</v>
      </c>
      <c r="CD22" s="91">
        <f t="shared" si="9"/>
        <v>2</v>
      </c>
      <c r="CE22" s="752" t="b">
        <f t="shared" ref="CE22:CE85" si="21">IF(CB22&lt;CD22,TRUE,FALSE)</f>
        <v>0</v>
      </c>
      <c r="CF22" s="673"/>
      <c r="CG22" s="752">
        <f t="shared" ref="CG22:CG85" si="22">((100*(-0.0126+0.01475*($X$7*((1/CH22)^0.25))))/(1+(-0.0126+0.01475*($X$7*((1/CH22)^0.25)))))</f>
        <v>3.2466754977079622</v>
      </c>
      <c r="CH22" s="752">
        <f t="shared" ref="CH22:CH85" si="23">CI22*(2.65*($W$7/0.03)^0.5-1.35)</f>
        <v>0.16686577093079455</v>
      </c>
      <c r="CI22" s="752">
        <f t="shared" ref="CI22:CI85" si="24">((0.03/(2.2*(10^($AS$10+($AT$10*(LOG((0.03*($AB$7+$AC$7))/CB22))))))))</f>
        <v>1.1160642016870677E-2</v>
      </c>
      <c r="CJ22" s="755">
        <f t="shared" ref="CJ22:CJ85" si="25">($W$7/(2.2*((0.976*CI22+0.022)^0.625)))</f>
        <v>4.3597519881651339</v>
      </c>
      <c r="CK22" s="755">
        <f t="shared" ref="CK22:CK85" si="26">($W$7/(2.2*((0.956*CI22+0.037)^0.5)))</f>
        <v>2.3633555728235227</v>
      </c>
      <c r="CL22" s="755">
        <f t="shared" ref="CL22:CL85" si="27">$X$7*((1/CH22)^0.25)</f>
        <v>3.1292350124745871</v>
      </c>
      <c r="CM22" s="755">
        <f t="shared" ref="CM22:CM85" si="28">$X$7*((1/CI22)^0.25)</f>
        <v>6.1532944996209622</v>
      </c>
      <c r="CN22" s="755">
        <f t="shared" ref="CN22:CN85" si="29">IF($R$30&lt;=40,$AF$7/(CH22^0.25)/SQRT((($AV$10+($AE$7/(CH22^0.25))))),IF($R$30&gt;40,$AF$7/(CH22^0.25)/SQRT((($AW$10+($AE$7/(CH22^0.25))))),""))</f>
        <v>2.022816402411908</v>
      </c>
      <c r="CO22" s="755">
        <f t="shared" ref="CO22:CO85" si="30">IF($R$30&lt;=40,$AF$7/(CI22^0.25)/SQRT((($AV$10+($AE$7/(CI22^0.25))))),IF($R$30&gt;40,$AF$7/(CI22^0.25)/SQRT((($AW$10+($AE$7/(CI22^0.25))))),""))</f>
        <v>2.8960944360481364</v>
      </c>
      <c r="CP22" s="755">
        <f t="shared" ref="CP22:CP76" si="31">CH22*($AB$7+$AC$7)</f>
        <v>208.58221366349318</v>
      </c>
      <c r="CQ22" s="755">
        <f t="shared" ref="CQ22:CQ85" si="32">CP22/$AQ$101</f>
        <v>33.81253824838182</v>
      </c>
      <c r="CR22" s="755">
        <f>$W$7/CH22</f>
        <v>6.8030728750883833</v>
      </c>
      <c r="CS22" s="755">
        <f t="shared" ref="CS22:CS85" si="33">CR22/2.2</f>
        <v>3.0923058523129012</v>
      </c>
      <c r="CT22" s="755">
        <f t="shared" ref="CT22:CT76" si="34">((100*(-0.0126+0.01475*($X$7*((1/CH22)^0.25))))/(1+(-0.0126+0.01475*($X$7*((1/CH22)^0.25)))))</f>
        <v>3.2466754977079622</v>
      </c>
      <c r="CU22" s="755">
        <f t="shared" ref="CU22:CU76" si="35">((100*(-0.0126+0.01475*CO22)/(1+(-0.0126+0.01475*CO22))))</f>
        <v>2.9236855079202213</v>
      </c>
      <c r="CX22" s="755"/>
      <c r="CY22" s="755"/>
      <c r="CZ22" s="755">
        <f>VLOOKUP(CZ24,DE22:DF121,2,FALSE)</f>
        <v>96</v>
      </c>
      <c r="DA22" s="755" t="s">
        <v>1622</v>
      </c>
      <c r="DB22" s="755"/>
      <c r="DC22" s="755"/>
      <c r="DD22" s="755" t="b">
        <f>IF(DE22&lt;0.2,TRUE,FALSE)</f>
        <v>0</v>
      </c>
      <c r="DE22" s="755">
        <f t="shared" ref="DE22:DE85" si="36">ABS((DH22-DG22))</f>
        <v>43.778646662938634</v>
      </c>
      <c r="DF22" s="755">
        <v>1</v>
      </c>
      <c r="DG22" s="755">
        <f>DG21-0.5</f>
        <v>49.5</v>
      </c>
      <c r="DH22" s="673">
        <f t="shared" ref="DH22:DH85" si="37">DL22</f>
        <v>5.7213533370613634</v>
      </c>
      <c r="DI22" s="673">
        <f t="shared" ref="DI22:DI85" si="38">$DG$14</f>
        <v>2</v>
      </c>
      <c r="DJ22" s="766" t="b">
        <f t="shared" ref="DJ22:DJ85" si="39">IF(DG22&lt;DI22,TRUE,FALSE)</f>
        <v>0</v>
      </c>
      <c r="DK22" s="673"/>
      <c r="DL22" s="766">
        <f t="shared" ref="DL22:DL85" si="40">((100*(-0.0126+0.01475*($DG$14*((1/DM22)^0.25))))/(1+(-0.0126+0.01475*($DG$14*((1/DM22)^0.25)))))</f>
        <v>5.7213533370613634</v>
      </c>
      <c r="DM22" s="766">
        <f t="shared" ref="DM22:DM85" si="41">DN22*(2.65*($DN$14/0.03)^0.5-1.35)</f>
        <v>2.6255131779425067E-2</v>
      </c>
      <c r="DN22" s="766">
        <f t="shared" ref="DN22:DN85" si="42">((0.03/(2.2*(10^($AS$10+($AT$10*(LOG((0.03*($AB$7+$AC$7))/DG22))))))))</f>
        <v>1.7560469427696829E-3</v>
      </c>
      <c r="DO22" s="766">
        <f t="shared" ref="DO22:DO85" si="43">($DN$14/(2.2*((0.976*DN22+0.022)^0.625)))</f>
        <v>5.3490026832206476</v>
      </c>
      <c r="DP22" s="766">
        <f t="shared" ref="DP22:DP85" si="44">($DN$14/(2.2*((0.956*DN22+0.037)^0.5)))</f>
        <v>2.6236947913113138</v>
      </c>
      <c r="DQ22" s="766">
        <f t="shared" ref="DQ22:DQ85" si="45">$DG$14*((1/DM22)^0.25)</f>
        <v>4.9685131667598608</v>
      </c>
      <c r="DR22" s="766">
        <f t="shared" ref="DR22:DR85" si="46">$DG$14*((1/DN22)^0.25)</f>
        <v>9.7700315311699715</v>
      </c>
      <c r="DS22" s="766">
        <f t="shared" ref="DS22:DS85" si="47">IF($R$30&lt;=40,$AF$7/(DM22^0.25)/SQRT((($AV$10+($AE$7/(DM22^0.25))))),IF($R$30&gt;40,$AF$7/(DM22^0.25)/SQRT((($AW$10+($AE$7/(DM22^0.25))))),""))</f>
        <v>2.5888742169472954</v>
      </c>
      <c r="DT22" s="766">
        <f t="shared" ref="DT22:DT85" si="48">IF($R$30&lt;=40,$AF$7/(DN22^0.25)/SQRT((($AV$10+($AE$7/(DN22^0.25))))),IF($R$30&gt;40,$AF$7/(DN22^0.25)/SQRT((($AW$10+($AE$7/(DN22^0.25))))),""))</f>
        <v>3.6792933436206319</v>
      </c>
      <c r="DU22" s="766">
        <f t="shared" ref="DU22:DU85" si="49">DM22*($AB$7+$AC$7)</f>
        <v>32.818914724281335</v>
      </c>
      <c r="DV22" s="766">
        <f t="shared" ref="DV22:DV85" si="50">DU22/$AQ$101</f>
        <v>5.3201602854566215</v>
      </c>
      <c r="DW22" s="766">
        <f t="shared" ref="DW22:DW85" si="51">$DN$14/DM22</f>
        <v>43.237261558504301</v>
      </c>
      <c r="DX22" s="766">
        <f t="shared" ref="DX22:DX85" si="52">DW22/2.2</f>
        <v>19.653300708411045</v>
      </c>
      <c r="DY22" s="766">
        <f t="shared" ref="DY22:DY85" si="53">((100*(-0.0126+0.01475*($DG$14*((1/DM22)^0.25))))/(1+(-0.0126+0.01475*($DG$14*((1/DM22)^0.25)))))</f>
        <v>5.7213533370613634</v>
      </c>
      <c r="DZ22" s="766">
        <f t="shared" ref="DZ22:DZ85" si="54">((100*(-0.0126+0.01475*DT22)/(1+(-0.0126+0.01475*DT22))))</f>
        <v>4.0002681988348616</v>
      </c>
      <c r="EB22" s="755" t="e">
        <f>VLOOKUP(EB24,EG22:EH121,2,FALSE)</f>
        <v>#N/A</v>
      </c>
      <c r="EC22" s="755" t="s">
        <v>1622</v>
      </c>
      <c r="ED22" s="755"/>
      <c r="EE22" s="755"/>
      <c r="EF22" s="755" t="b">
        <f>IF(EG22&lt;0.2,TRUE,FALSE)</f>
        <v>0</v>
      </c>
      <c r="EG22" s="755">
        <f t="shared" ref="EG22:EG85" si="55">ABS((EJ22-EI22))</f>
        <v>4.2533245022920383</v>
      </c>
      <c r="EH22" s="755">
        <v>1</v>
      </c>
      <c r="EI22" s="755">
        <f>EI21+0.5</f>
        <v>7.5</v>
      </c>
      <c r="EJ22" s="673">
        <f t="shared" ref="EJ22:EJ85" si="56">EN22</f>
        <v>3.2466754977079622</v>
      </c>
      <c r="EK22" s="673">
        <f t="shared" ref="EK22:EK85" si="57">$Z$7</f>
        <v>2.2510196371999172</v>
      </c>
      <c r="EL22" s="755" t="b">
        <f t="shared" ref="EL22:EL85" si="58">IF(EI22&lt;EK22,TRUE,FALSE)</f>
        <v>0</v>
      </c>
      <c r="EM22" s="673"/>
      <c r="EN22" s="755">
        <f t="shared" ref="EN22:EN85" si="59">((100*(-0.0126+0.01475*($X$7*((1/EO22)^0.25))))/(1+(-0.0126+0.01475*($X$7*((1/EO22)^0.25)))))</f>
        <v>3.2466754977079622</v>
      </c>
      <c r="EO22" s="755">
        <f t="shared" ref="EO22:EO85" si="60">EP22*(2.65*($W$7/0.03)^0.5-1.35)</f>
        <v>0.16686577093079455</v>
      </c>
      <c r="EP22" s="755">
        <f t="shared" ref="EP22:EP85" si="61">((0.03/(2.2*(10^($AS$10+($AT$10*(LOG((0.03*($AB$7+$AC$7))/EI22))))))))</f>
        <v>1.1160642016870677E-2</v>
      </c>
      <c r="EQ22" s="755">
        <f t="shared" ref="EQ22:EQ85" si="62">($W$7/(2.2*((0.976*EP22+0.022)^0.625)))</f>
        <v>4.3597519881651339</v>
      </c>
      <c r="ER22" s="755">
        <f t="shared" ref="ER22:ER85" si="63">($W$7/(2.2*((0.956*EP22+0.037)^0.5)))</f>
        <v>2.3633555728235227</v>
      </c>
      <c r="ES22" s="755">
        <f t="shared" ref="ES22:ES85" si="64">$X$7*((1/EO22)^0.25)</f>
        <v>3.1292350124745871</v>
      </c>
      <c r="ET22" s="755">
        <f t="shared" ref="ET22:ET85" si="65">$X$7*((1/EP22)^0.25)</f>
        <v>6.1532944996209622</v>
      </c>
      <c r="EU22" s="755">
        <f t="shared" ref="EU22:EU85" si="66">IF($R$30&lt;=40,$AF$7/(EO22^0.25)/SQRT((($AV$10+($AE$7/(EO22^0.25))))),IF($R$30&gt;40,$AF$7/(EO22^0.25)/SQRT((($AW$10+($AE$7/(EO22^0.25))))),""))</f>
        <v>2.022816402411908</v>
      </c>
      <c r="EV22" s="755">
        <f t="shared" ref="EV22:EV85" si="67">IF($R$30&lt;=40,$AF$7/(EP22^0.25)/SQRT((($AV$10+($AE$7/(EP22^0.25))))),IF($R$30&gt;40,$AF$7/(EP22^0.25)/SQRT((($AW$10+($AE$7/(EP22^0.25))))),""))</f>
        <v>2.8960944360481364</v>
      </c>
      <c r="EW22" s="755">
        <f t="shared" ref="EW22:EW85" si="68">EO22*($AB$7+$AC$7)</f>
        <v>208.58221366349318</v>
      </c>
      <c r="EX22" s="755">
        <f t="shared" ref="EX22:EX85" si="69">EW22/$AQ$101</f>
        <v>33.81253824838182</v>
      </c>
      <c r="EY22" s="755">
        <f>$W$7/EO22</f>
        <v>6.8030728750883833</v>
      </c>
      <c r="EZ22" s="755">
        <f t="shared" ref="EZ22:EZ85" si="70">EY22/2.2</f>
        <v>3.0923058523129012</v>
      </c>
      <c r="FA22" s="755">
        <f t="shared" ref="FA22:FA85" si="71">((100*(-0.0126+0.01475*($X$7*((1/EO22)^0.25))))/(1+(-0.0126+0.01475*($X$7*((1/EO22)^0.25)))))</f>
        <v>3.2466754977079622</v>
      </c>
      <c r="FB22" s="755">
        <f t="shared" ref="FB22:FB85" si="72">((100*(-0.0126+0.01475*EV22)/(1+(-0.0126+0.01475*EV22))))</f>
        <v>2.9236855079202213</v>
      </c>
      <c r="FC22" s="755"/>
      <c r="FD22" s="755"/>
      <c r="FE22" s="755"/>
      <c r="FF22" s="755"/>
      <c r="FG22" s="755">
        <f>VLOOKUP(FG24,FL22:FM121,2,FALSE)</f>
        <v>95</v>
      </c>
      <c r="FH22" s="755" t="s">
        <v>1622</v>
      </c>
      <c r="FI22" s="755"/>
      <c r="FJ22" s="755"/>
      <c r="FK22" s="755" t="b">
        <f>IF(FL22&lt;0.2,TRUE,FALSE)</f>
        <v>0</v>
      </c>
      <c r="FL22" s="755">
        <f t="shared" ref="FL22:FL85" si="73">ABS((FO22-FN22))</f>
        <v>45.49973180116514</v>
      </c>
      <c r="FM22" s="755">
        <v>1</v>
      </c>
      <c r="FN22" s="755">
        <f>FN21-0.5</f>
        <v>49.5</v>
      </c>
      <c r="FO22" s="673">
        <f t="shared" ref="FO22:FO85" si="74">FS22</f>
        <v>4.0002681988348616</v>
      </c>
      <c r="FP22" s="673">
        <f t="shared" ref="FP22:FP85" si="75">$DQ$14</f>
        <v>2.2510196371999172</v>
      </c>
      <c r="FQ22" s="766" t="b">
        <f t="shared" ref="FQ22:FQ85" si="76">IF(FN22&lt;FP22,TRUE,FALSE)</f>
        <v>0</v>
      </c>
      <c r="FR22" s="673"/>
      <c r="FS22" s="767">
        <f t="shared" ref="FS22:FS85" si="77">GG22</f>
        <v>4.0002681988348616</v>
      </c>
      <c r="FT22" s="766">
        <f t="shared" ref="FT22:FT85" si="78">FU22*(2.65*($DN$14/0.03)^0.5-1.35)</f>
        <v>2.6255131779425067E-2</v>
      </c>
      <c r="FU22" s="766">
        <f t="shared" ref="FU22:FU85" si="79">((0.03/(2.2*(10^($AS$10+($AT$10*(LOG((0.03*($AB$7+$AC$7))/FN22))))))))</f>
        <v>1.7560469427696829E-3</v>
      </c>
      <c r="FV22" s="766">
        <f t="shared" ref="FV22:FV85" si="80">($DN$14/(2.2*((0.976*FU22+0.022)^0.625)))</f>
        <v>5.3490026832206476</v>
      </c>
      <c r="FW22" s="766">
        <f t="shared" ref="FW22:FW85" si="81">($DN$14/(2.2*((0.956*FU22+0.037)^0.5)))</f>
        <v>2.6236947913113138</v>
      </c>
      <c r="FX22" s="766">
        <f t="shared" ref="FX22:FX85" si="82">$DQ$14*((1/FT22)^0.25)</f>
        <v>5.5921103530313969</v>
      </c>
      <c r="FY22" s="766">
        <f t="shared" ref="FY22:FY85" si="83">$DQ$14*((1/FU22)^0.25)</f>
        <v>10.996266416362991</v>
      </c>
      <c r="FZ22" s="766">
        <f t="shared" ref="FZ22:FZ85" si="84">IF($R$30&lt;=40,$AF$7/(FT22^0.25)/SQRT((($AV$10+($AE$7/(FT22^0.25))))),IF($R$30&gt;40,$AF$7/(FT22^0.25)/SQRT((($AW$10+($AE$7/(FT22^0.25))))),""))</f>
        <v>2.5888742169472954</v>
      </c>
      <c r="GA22" s="766">
        <f t="shared" ref="GA22:GA85" si="85">IF($R$30&lt;=40,$AF$7/(FU22^0.25)/SQRT((($AV$10+($AE$7/(FU22^0.25))))),IF($R$30&gt;40,$AF$7/(FU22^0.25)/SQRT((($AW$10+($AE$7/(FU22^0.25))))),""))</f>
        <v>3.6792933436206319</v>
      </c>
      <c r="GB22" s="766">
        <f t="shared" ref="GB22:GB85" si="86">FT22*($AB$7+$AC$7)</f>
        <v>32.818914724281335</v>
      </c>
      <c r="GC22" s="766">
        <f t="shared" ref="GC22:GC85" si="87">GB22/$AQ$101</f>
        <v>5.3201602854566215</v>
      </c>
      <c r="GD22" s="766">
        <f t="shared" ref="GD22:GD85" si="88">$DN$14/FT22</f>
        <v>43.237261558504301</v>
      </c>
      <c r="GE22" s="766">
        <f t="shared" ref="GE22:GE85" si="89">GD22/2.2</f>
        <v>19.653300708411045</v>
      </c>
      <c r="GF22" s="766">
        <f t="shared" ref="GF22:GF85" si="90">((100*(-0.0126+0.01475*($DQ$14*((1/FT22)^0.25))))/(1+(-0.0126+0.01475*($DQ$14*((1/FT22)^0.25)))))</f>
        <v>6.53189056243205</v>
      </c>
      <c r="GG22" s="766">
        <f t="shared" ref="GG22:GG85" si="91">((100*(-0.0126+0.01475*GA22)/(1+(-0.0126+0.01475*GA22))))</f>
        <v>4.0002681988348616</v>
      </c>
    </row>
    <row r="23" spans="1:189" s="46" customFormat="1" ht="15.5">
      <c r="A23" s="162"/>
      <c r="B23" s="292">
        <v>3</v>
      </c>
      <c r="C23" s="675">
        <v>0.3</v>
      </c>
      <c r="D23" s="869">
        <v>36</v>
      </c>
      <c r="E23" s="869">
        <v>22.2</v>
      </c>
      <c r="F23" s="869">
        <v>0.4</v>
      </c>
      <c r="G23" s="869">
        <v>1.6</v>
      </c>
      <c r="H23" s="869">
        <v>0.04</v>
      </c>
      <c r="I23" s="869">
        <v>20</v>
      </c>
      <c r="J23" s="675"/>
      <c r="K23" s="871">
        <v>14.9</v>
      </c>
      <c r="L23" s="304">
        <f>IF(ISNUMBER(AW23),AY23*((500+6*AW23)/(6.57*AW23+30.34))^(1/(((1.024+0.232*LN(AY23/(10^(0.92*LOG(56.42*AV23)-0.865))))))),"")</f>
        <v>0.23977314741944653</v>
      </c>
      <c r="M23" s="413">
        <f t="shared" si="11"/>
        <v>0.52750092432278239</v>
      </c>
      <c r="N23" s="296">
        <f t="shared" si="12"/>
        <v>5.6871938259662157E-2</v>
      </c>
      <c r="O23" s="1056" t="s">
        <v>916</v>
      </c>
      <c r="P23" s="1057"/>
      <c r="Q23" s="1058"/>
      <c r="R23" s="810">
        <f>IF(ISNUMBER(AW102),AW102,"")</f>
        <v>3.0767852940185634</v>
      </c>
      <c r="S23" s="820">
        <f>IF(ISNUMBER(CZ27),CZ27,"")</f>
        <v>2.263604352088028</v>
      </c>
      <c r="T23" s="839">
        <f>IF(ISNUMBER(FG27),FG27,"")</f>
        <v>2.6908702763284049</v>
      </c>
      <c r="U23" s="756" t="s">
        <v>919</v>
      </c>
      <c r="V23" s="757"/>
      <c r="W23" s="807">
        <f t="shared" si="5"/>
        <v>3.8905566477032529</v>
      </c>
      <c r="X23" s="816"/>
      <c r="Y23" s="816"/>
      <c r="Z23" s="817"/>
      <c r="AA23" s="86"/>
      <c r="AB23" s="161"/>
      <c r="AC23" s="161"/>
      <c r="AD23" s="161"/>
      <c r="AE23" s="161"/>
      <c r="AF23" s="161"/>
      <c r="AG23" s="161"/>
      <c r="AH23" s="161"/>
      <c r="AI23" s="161"/>
      <c r="AJ23" s="161"/>
      <c r="AK23" s="168"/>
      <c r="AL23" s="161"/>
      <c r="AM23" s="161"/>
      <c r="AN23" s="160">
        <f t="shared" si="13"/>
        <v>-70</v>
      </c>
      <c r="AO23" s="160">
        <f t="shared" si="14"/>
        <v>0</v>
      </c>
      <c r="AP23" s="160">
        <f t="shared" si="15"/>
        <v>20</v>
      </c>
      <c r="AQ23" s="31">
        <f>AVERAGE(D21:D23)</f>
        <v>35</v>
      </c>
      <c r="AR23" s="31">
        <f>AVERAGE(E21:E23)</f>
        <v>20.599999999999998</v>
      </c>
      <c r="AS23" s="46">
        <f>AVERAGE(AT21:AT23)</f>
        <v>1.9333333333333336</v>
      </c>
      <c r="AT23" s="46">
        <f t="shared" si="8"/>
        <v>1.6</v>
      </c>
      <c r="AU23" s="59">
        <f t="shared" si="16"/>
        <v>2E-3</v>
      </c>
      <c r="AV23" s="59">
        <f t="shared" ref="AV23:AV32" si="92">IF(ISNUMBER(I23),AU23,"")</f>
        <v>2E-3</v>
      </c>
      <c r="AW23" s="730">
        <f t="shared" si="17"/>
        <v>4.67</v>
      </c>
      <c r="AX23" s="737">
        <f t="shared" ref="AX23:AX32" si="93">IF((H$19="µS/cm"),H23/1000,IF(H$19="dS/m",H23,""))</f>
        <v>0.04</v>
      </c>
      <c r="AY23" s="737">
        <f t="shared" si="18"/>
        <v>0.04</v>
      </c>
      <c r="BA23" s="46" t="str">
        <f>VLOOKUP(BA22,BC22:BH29,BB23+1,TRUE)</f>
        <v>High</v>
      </c>
      <c r="BB23" s="46">
        <f>IF(BB22=0,1,IF(BB22=0.35,2,IF(BB22=0.55,3,IF(BB22=0.75,4,IF(BB22=0.95,5,"")))))</f>
        <v>4</v>
      </c>
      <c r="BC23" s="5">
        <v>15</v>
      </c>
      <c r="BD23" s="46" t="s">
        <v>440</v>
      </c>
      <c r="BE23" s="46" t="s">
        <v>442</v>
      </c>
      <c r="BF23" s="699" t="s">
        <v>1563</v>
      </c>
      <c r="BG23" s="46" t="s">
        <v>442</v>
      </c>
      <c r="BH23" s="699" t="s">
        <v>1563</v>
      </c>
      <c r="BI23" s="5"/>
      <c r="BU23" s="46">
        <f>CB23-CB22</f>
        <v>0.5</v>
      </c>
      <c r="BV23" s="46" t="s">
        <v>1623</v>
      </c>
      <c r="BY23" s="753" t="b">
        <f t="shared" ref="BY23:BY86" si="94">IF(BZ23&lt;0.2,TRUE,FALSE)</f>
        <v>0</v>
      </c>
      <c r="BZ23" s="753">
        <f t="shared" si="19"/>
        <v>4.6845106077123173</v>
      </c>
      <c r="CA23" s="46">
        <v>2</v>
      </c>
      <c r="CB23" s="46">
        <f>CB22+0.5</f>
        <v>8</v>
      </c>
      <c r="CC23" s="673">
        <f t="shared" si="20"/>
        <v>3.3154893922876827</v>
      </c>
      <c r="CD23" s="91">
        <f t="shared" si="9"/>
        <v>2</v>
      </c>
      <c r="CE23" s="752" t="b">
        <f t="shared" si="21"/>
        <v>0</v>
      </c>
      <c r="CF23" s="673"/>
      <c r="CG23" s="752">
        <f t="shared" si="22"/>
        <v>3.3154893922876827</v>
      </c>
      <c r="CH23" s="752">
        <f t="shared" si="23"/>
        <v>0.15663871443643351</v>
      </c>
      <c r="CI23" s="752">
        <f t="shared" si="24"/>
        <v>1.0476616073244323E-2</v>
      </c>
      <c r="CJ23" s="755">
        <f t="shared" si="25"/>
        <v>4.4159854069664268</v>
      </c>
      <c r="CK23" s="755">
        <f t="shared" si="26"/>
        <v>2.3797344766372004</v>
      </c>
      <c r="CL23" s="755">
        <f t="shared" si="27"/>
        <v>3.1791075329882603</v>
      </c>
      <c r="CM23" s="755">
        <f t="shared" si="28"/>
        <v>6.2513632943697264</v>
      </c>
      <c r="CN23" s="755">
        <f t="shared" si="29"/>
        <v>2.0401976434921671</v>
      </c>
      <c r="CO23" s="755">
        <f t="shared" si="30"/>
        <v>2.920087207626985</v>
      </c>
      <c r="CP23" s="755">
        <f t="shared" si="31"/>
        <v>195.7983930455419</v>
      </c>
      <c r="CQ23" s="755">
        <f t="shared" si="32"/>
        <v>31.740197486372807</v>
      </c>
      <c r="CR23" s="755">
        <f t="shared" ref="CR23:CR76" si="95">$W$7/CH23</f>
        <v>7.2472504903038022</v>
      </c>
      <c r="CS23" s="755">
        <f t="shared" si="33"/>
        <v>3.2942047683199096</v>
      </c>
      <c r="CT23" s="755">
        <f t="shared" si="34"/>
        <v>3.3154893922876827</v>
      </c>
      <c r="CU23" s="755">
        <f t="shared" si="35"/>
        <v>2.9570242972551286</v>
      </c>
      <c r="CX23" s="755"/>
      <c r="CY23" s="755"/>
      <c r="CZ23" s="755">
        <f>DG23-DG22</f>
        <v>-0.5</v>
      </c>
      <c r="DA23" s="755" t="s">
        <v>1623</v>
      </c>
      <c r="DB23" s="755"/>
      <c r="DC23" s="755"/>
      <c r="DD23" s="755" t="b">
        <f t="shared" ref="DD23:DD86" si="96">IF(DE23&lt;0.2,TRUE,FALSE)</f>
        <v>0</v>
      </c>
      <c r="DE23" s="755">
        <f t="shared" si="36"/>
        <v>43.294831684181077</v>
      </c>
      <c r="DF23" s="755">
        <v>2</v>
      </c>
      <c r="DG23" s="755">
        <f t="shared" ref="DG23:DG86" si="97">DG22-0.5</f>
        <v>49</v>
      </c>
      <c r="DH23" s="673">
        <f t="shared" si="37"/>
        <v>5.7051683158189199</v>
      </c>
      <c r="DI23" s="673">
        <f t="shared" si="38"/>
        <v>2</v>
      </c>
      <c r="DJ23" s="766" t="b">
        <f t="shared" si="39"/>
        <v>0</v>
      </c>
      <c r="DK23" s="673"/>
      <c r="DL23" s="766">
        <f t="shared" si="40"/>
        <v>5.7051683158189199</v>
      </c>
      <c r="DM23" s="766">
        <f t="shared" si="41"/>
        <v>2.6517656398740676E-2</v>
      </c>
      <c r="DN23" s="766">
        <f t="shared" si="42"/>
        <v>1.7736056264976473E-3</v>
      </c>
      <c r="DO23" s="766">
        <f t="shared" si="43"/>
        <v>5.346588130612119</v>
      </c>
      <c r="DP23" s="766">
        <f t="shared" si="44"/>
        <v>2.6231256513784098</v>
      </c>
      <c r="DQ23" s="766">
        <f t="shared" si="45"/>
        <v>4.9561701867951697</v>
      </c>
      <c r="DR23" s="766">
        <f t="shared" si="46"/>
        <v>9.7457604264357833</v>
      </c>
      <c r="DS23" s="766">
        <f t="shared" si="47"/>
        <v>2.5854833219756821</v>
      </c>
      <c r="DT23" s="766">
        <f t="shared" si="48"/>
        <v>3.6745917906849259</v>
      </c>
      <c r="DU23" s="766">
        <f t="shared" si="49"/>
        <v>33.147070498425848</v>
      </c>
      <c r="DV23" s="766">
        <f t="shared" si="50"/>
        <v>5.3733564783141272</v>
      </c>
      <c r="DW23" s="766">
        <f t="shared" si="51"/>
        <v>42.809212960988162</v>
      </c>
      <c r="DX23" s="766">
        <f t="shared" si="52"/>
        <v>19.458733164085526</v>
      </c>
      <c r="DY23" s="766">
        <f t="shared" si="53"/>
        <v>5.7051683158189199</v>
      </c>
      <c r="DZ23" s="766">
        <f t="shared" si="54"/>
        <v>3.993876706040278</v>
      </c>
      <c r="EB23" s="755">
        <f>EI23-EI22</f>
        <v>0.5</v>
      </c>
      <c r="EC23" s="755" t="s">
        <v>1623</v>
      </c>
      <c r="ED23" s="755"/>
      <c r="EE23" s="755"/>
      <c r="EF23" s="755" t="b">
        <f t="shared" ref="EF23:EF86" si="98">IF(EG23&lt;0.2,TRUE,FALSE)</f>
        <v>0</v>
      </c>
      <c r="EG23" s="755">
        <f t="shared" si="55"/>
        <v>4.6845106077123173</v>
      </c>
      <c r="EH23" s="755">
        <v>2</v>
      </c>
      <c r="EI23" s="755">
        <f>EI22+0.5</f>
        <v>8</v>
      </c>
      <c r="EJ23" s="673">
        <f t="shared" si="56"/>
        <v>3.3154893922876827</v>
      </c>
      <c r="EK23" s="673">
        <f t="shared" si="57"/>
        <v>2.2510196371999172</v>
      </c>
      <c r="EL23" s="755" t="b">
        <f t="shared" si="58"/>
        <v>0</v>
      </c>
      <c r="EM23" s="673"/>
      <c r="EN23" s="755">
        <f t="shared" si="59"/>
        <v>3.3154893922876827</v>
      </c>
      <c r="EO23" s="755">
        <f t="shared" si="60"/>
        <v>0.15663871443643351</v>
      </c>
      <c r="EP23" s="755">
        <f t="shared" si="61"/>
        <v>1.0476616073244323E-2</v>
      </c>
      <c r="EQ23" s="755">
        <f t="shared" si="62"/>
        <v>4.4159854069664268</v>
      </c>
      <c r="ER23" s="755">
        <f t="shared" si="63"/>
        <v>2.3797344766372004</v>
      </c>
      <c r="ES23" s="755">
        <f t="shared" si="64"/>
        <v>3.1791075329882603</v>
      </c>
      <c r="ET23" s="755">
        <f t="shared" si="65"/>
        <v>6.2513632943697264</v>
      </c>
      <c r="EU23" s="755">
        <f t="shared" si="66"/>
        <v>2.0401976434921671</v>
      </c>
      <c r="EV23" s="755">
        <f t="shared" si="67"/>
        <v>2.920087207626985</v>
      </c>
      <c r="EW23" s="755">
        <f t="shared" si="68"/>
        <v>195.7983930455419</v>
      </c>
      <c r="EX23" s="755">
        <f t="shared" si="69"/>
        <v>31.740197486372807</v>
      </c>
      <c r="EY23" s="755">
        <f t="shared" ref="EY23:EY86" si="99">$W$7/EO23</f>
        <v>7.2472504903038022</v>
      </c>
      <c r="EZ23" s="755">
        <f t="shared" si="70"/>
        <v>3.2942047683199096</v>
      </c>
      <c r="FA23" s="755">
        <f t="shared" si="71"/>
        <v>3.3154893922876827</v>
      </c>
      <c r="FB23" s="755">
        <f t="shared" si="72"/>
        <v>2.9570242972551286</v>
      </c>
      <c r="FC23" s="755"/>
      <c r="FD23" s="755"/>
      <c r="FE23" s="755"/>
      <c r="FF23" s="755"/>
      <c r="FG23" s="755">
        <f>FN23-FN22</f>
        <v>-0.5</v>
      </c>
      <c r="FH23" s="755" t="s">
        <v>1623</v>
      </c>
      <c r="FI23" s="755"/>
      <c r="FJ23" s="755"/>
      <c r="FK23" s="755" t="b">
        <f t="shared" ref="FK23:FK86" si="100">IF(FL23&lt;0.2,TRUE,FALSE)</f>
        <v>0</v>
      </c>
      <c r="FL23" s="755">
        <f t="shared" si="73"/>
        <v>45.006123293959725</v>
      </c>
      <c r="FM23" s="755">
        <v>2</v>
      </c>
      <c r="FN23" s="767">
        <f t="shared" ref="FN23:FN86" si="101">FN22-0.5</f>
        <v>49</v>
      </c>
      <c r="FO23" s="673">
        <f t="shared" si="74"/>
        <v>3.993876706040278</v>
      </c>
      <c r="FP23" s="673">
        <f t="shared" si="75"/>
        <v>2.2510196371999172</v>
      </c>
      <c r="FQ23" s="766" t="b">
        <f t="shared" si="76"/>
        <v>0</v>
      </c>
      <c r="FR23" s="673"/>
      <c r="FS23" s="767">
        <f t="shared" si="77"/>
        <v>3.993876706040278</v>
      </c>
      <c r="FT23" s="766">
        <f t="shared" si="78"/>
        <v>2.6517656398740676E-2</v>
      </c>
      <c r="FU23" s="766">
        <f t="shared" si="79"/>
        <v>1.7736056264976473E-3</v>
      </c>
      <c r="FV23" s="766">
        <f t="shared" si="80"/>
        <v>5.346588130612119</v>
      </c>
      <c r="FW23" s="766">
        <f t="shared" si="81"/>
        <v>2.6231256513784098</v>
      </c>
      <c r="FX23" s="766">
        <f t="shared" si="82"/>
        <v>5.5782182078903544</v>
      </c>
      <c r="FY23" s="766">
        <f t="shared" si="83"/>
        <v>10.968949049676393</v>
      </c>
      <c r="FZ23" s="766">
        <f t="shared" si="84"/>
        <v>2.5854833219756821</v>
      </c>
      <c r="GA23" s="766">
        <f t="shared" si="85"/>
        <v>3.6745917906849259</v>
      </c>
      <c r="GB23" s="766">
        <f t="shared" si="86"/>
        <v>33.147070498425848</v>
      </c>
      <c r="GC23" s="766">
        <f t="shared" si="87"/>
        <v>5.3733564783141272</v>
      </c>
      <c r="GD23" s="766">
        <f t="shared" si="88"/>
        <v>42.809212960988162</v>
      </c>
      <c r="GE23" s="766">
        <f t="shared" si="89"/>
        <v>19.458733164085526</v>
      </c>
      <c r="GF23" s="766">
        <f t="shared" si="90"/>
        <v>6.5139856815856207</v>
      </c>
      <c r="GG23" s="766">
        <f t="shared" si="91"/>
        <v>3.993876706040278</v>
      </c>
    </row>
    <row r="24" spans="1:189" s="46" customFormat="1" ht="15.5">
      <c r="A24" s="162"/>
      <c r="B24" s="292">
        <v>4</v>
      </c>
      <c r="C24" s="675">
        <v>0.6</v>
      </c>
      <c r="D24" s="869">
        <v>31</v>
      </c>
      <c r="E24" s="869">
        <v>34.5</v>
      </c>
      <c r="F24" s="869">
        <v>0.5</v>
      </c>
      <c r="G24" s="869">
        <v>1.5</v>
      </c>
      <c r="H24" s="869">
        <v>0.17699999999999999</v>
      </c>
      <c r="I24" s="869">
        <v>60</v>
      </c>
      <c r="J24" s="675"/>
      <c r="K24" s="871">
        <v>13.6</v>
      </c>
      <c r="L24" s="304">
        <f t="shared" si="10"/>
        <v>0.80795244470731731</v>
      </c>
      <c r="M24" s="413">
        <f t="shared" si="11"/>
        <v>1.7774953783560983</v>
      </c>
      <c r="N24" s="296">
        <f t="shared" si="12"/>
        <v>1.6877681014138696E-2</v>
      </c>
      <c r="O24" s="1056" t="s">
        <v>613</v>
      </c>
      <c r="P24" s="1057"/>
      <c r="Q24" s="1058"/>
      <c r="R24" s="810">
        <f>IF(ISNUMBER(AW103),AW103,"")</f>
        <v>2.0043782108714843</v>
      </c>
      <c r="S24" s="849">
        <f>IF(ISNUMBER(CZ28),CZ28,"")</f>
        <v>1.6938237937032092</v>
      </c>
      <c r="T24" s="839">
        <f>IF(ISNUMBER(FG28),FG28,"")</f>
        <v>1.7459240797561748</v>
      </c>
      <c r="U24" s="756" t="s">
        <v>1507</v>
      </c>
      <c r="V24" s="757"/>
      <c r="W24" s="807">
        <f t="shared" si="5"/>
        <v>1.7684348398651148</v>
      </c>
      <c r="X24" s="816"/>
      <c r="Y24" s="816"/>
      <c r="Z24" s="817"/>
      <c r="AA24" s="86"/>
      <c r="AB24" s="161"/>
      <c r="AC24" s="161"/>
      <c r="AD24" s="161"/>
      <c r="AE24" s="161"/>
      <c r="AF24" s="161"/>
      <c r="AG24" s="161"/>
      <c r="AH24" s="161"/>
      <c r="AI24" s="161"/>
      <c r="AJ24" s="161"/>
      <c r="AK24" s="168"/>
      <c r="AL24" s="161"/>
      <c r="AM24" s="161"/>
      <c r="AN24" s="160">
        <f t="shared" si="13"/>
        <v>-40</v>
      </c>
      <c r="AO24" s="160">
        <f t="shared" si="14"/>
        <v>30</v>
      </c>
      <c r="AP24" s="160">
        <f t="shared" si="15"/>
        <v>50</v>
      </c>
      <c r="AQ24" s="31">
        <f>AVERAGE(D21:D24)</f>
        <v>34</v>
      </c>
      <c r="AR24" s="31">
        <f>AVERAGE(E21:E24)</f>
        <v>24.074999999999999</v>
      </c>
      <c r="AS24" s="46">
        <f>AVERAGE(AT21:AT24)</f>
        <v>1.8250000000000002</v>
      </c>
      <c r="AT24" s="46">
        <f t="shared" si="8"/>
        <v>1.5</v>
      </c>
      <c r="AU24" s="59">
        <f t="shared" si="16"/>
        <v>6.0000000000000001E-3</v>
      </c>
      <c r="AV24" s="59">
        <f t="shared" si="92"/>
        <v>6.0000000000000001E-3</v>
      </c>
      <c r="AW24" s="730">
        <f t="shared" si="17"/>
        <v>6.5149999999999997</v>
      </c>
      <c r="AX24" s="737">
        <f t="shared" si="93"/>
        <v>0.17699999999999999</v>
      </c>
      <c r="AY24" s="737">
        <f t="shared" si="18"/>
        <v>0.17699999999999999</v>
      </c>
      <c r="BA24" s="46" t="s">
        <v>503</v>
      </c>
      <c r="BC24" s="5">
        <v>25</v>
      </c>
      <c r="BD24" s="699" t="s">
        <v>1563</v>
      </c>
      <c r="BE24" s="699" t="s">
        <v>1563</v>
      </c>
      <c r="BF24" s="699" t="s">
        <v>1563</v>
      </c>
      <c r="BG24" s="46" t="s">
        <v>442</v>
      </c>
      <c r="BH24" s="699" t="s">
        <v>1563</v>
      </c>
      <c r="BI24" s="5"/>
      <c r="BU24" s="46" t="e">
        <f>VLOOKUP(TRUE,BY22:CW121,2,FALSE)</f>
        <v>#N/A</v>
      </c>
      <c r="BV24" s="46" t="s">
        <v>1624</v>
      </c>
      <c r="BY24" s="753" t="b">
        <f t="shared" si="94"/>
        <v>0</v>
      </c>
      <c r="BZ24" s="753">
        <f t="shared" si="19"/>
        <v>5.1189623843703611</v>
      </c>
      <c r="CA24" s="46">
        <v>3</v>
      </c>
      <c r="CB24" s="752">
        <f t="shared" ref="CB24:CB87" si="102">CB23+0.5</f>
        <v>8.5</v>
      </c>
      <c r="CC24" s="673">
        <f t="shared" si="20"/>
        <v>3.3810376156296393</v>
      </c>
      <c r="CD24" s="91">
        <f t="shared" si="9"/>
        <v>2</v>
      </c>
      <c r="CE24" s="752" t="b">
        <f t="shared" si="21"/>
        <v>0</v>
      </c>
      <c r="CF24" s="673"/>
      <c r="CG24" s="752">
        <f t="shared" si="22"/>
        <v>3.3810376156296393</v>
      </c>
      <c r="CH24" s="752">
        <f t="shared" si="23"/>
        <v>0.14760353212209842</v>
      </c>
      <c r="CI24" s="752">
        <f t="shared" si="24"/>
        <v>9.8723073836612663E-3</v>
      </c>
      <c r="CJ24" s="755">
        <f t="shared" si="25"/>
        <v>4.46726391739662</v>
      </c>
      <c r="CK24" s="755">
        <f t="shared" si="26"/>
        <v>2.3944914724399773</v>
      </c>
      <c r="CL24" s="755">
        <f t="shared" si="27"/>
        <v>3.226679338209919</v>
      </c>
      <c r="CM24" s="755">
        <f t="shared" si="28"/>
        <v>6.3449079869992469</v>
      </c>
      <c r="CN24" s="755">
        <f t="shared" si="29"/>
        <v>2.0566432677725812</v>
      </c>
      <c r="CO24" s="755">
        <f t="shared" si="30"/>
        <v>2.9427921088324855</v>
      </c>
      <c r="CP24" s="755">
        <f t="shared" si="31"/>
        <v>184.50441515262304</v>
      </c>
      <c r="CQ24" s="755">
        <f t="shared" si="32"/>
        <v>29.909369954276599</v>
      </c>
      <c r="CR24" s="755">
        <f t="shared" si="95"/>
        <v>7.6908728651625795</v>
      </c>
      <c r="CS24" s="755">
        <f t="shared" si="33"/>
        <v>3.4958513023466269</v>
      </c>
      <c r="CT24" s="755">
        <f t="shared" si="34"/>
        <v>3.3810376156296393</v>
      </c>
      <c r="CU24" s="755">
        <f t="shared" si="35"/>
        <v>2.988552464589755</v>
      </c>
      <c r="CX24" s="755"/>
      <c r="CY24" s="755"/>
      <c r="CZ24" s="755">
        <f>VLOOKUP(TRUE,DD22:EB121,2,FALSE)</f>
        <v>3.6481703304890978E-2</v>
      </c>
      <c r="DA24" s="755" t="s">
        <v>1624</v>
      </c>
      <c r="DB24" s="755"/>
      <c r="DC24" s="755"/>
      <c r="DD24" s="755" t="b">
        <f t="shared" si="96"/>
        <v>0</v>
      </c>
      <c r="DE24" s="755">
        <f t="shared" si="36"/>
        <v>42.81114750334411</v>
      </c>
      <c r="DF24" s="755">
        <v>3</v>
      </c>
      <c r="DG24" s="755">
        <f t="shared" si="97"/>
        <v>48.5</v>
      </c>
      <c r="DH24" s="673">
        <f t="shared" si="37"/>
        <v>5.6888524966558913</v>
      </c>
      <c r="DI24" s="673">
        <f t="shared" si="38"/>
        <v>2</v>
      </c>
      <c r="DJ24" s="766" t="b">
        <f t="shared" si="39"/>
        <v>0</v>
      </c>
      <c r="DK24" s="673"/>
      <c r="DL24" s="766">
        <f t="shared" si="40"/>
        <v>5.6888524966558913</v>
      </c>
      <c r="DM24" s="766">
        <f t="shared" si="41"/>
        <v>2.6785539218425431E-2</v>
      </c>
      <c r="DN24" s="766">
        <f t="shared" si="42"/>
        <v>1.791522687835598E-3</v>
      </c>
      <c r="DO24" s="766">
        <f t="shared" si="43"/>
        <v>5.344127215348303</v>
      </c>
      <c r="DP24" s="766">
        <f t="shared" si="44"/>
        <v>2.622545276768268</v>
      </c>
      <c r="DQ24" s="766">
        <f t="shared" si="45"/>
        <v>4.9437317459762466</v>
      </c>
      <c r="DR24" s="766">
        <f t="shared" si="46"/>
        <v>9.7213016084915154</v>
      </c>
      <c r="DS24" s="766">
        <f t="shared" si="47"/>
        <v>2.5820617441084881</v>
      </c>
      <c r="DT24" s="766">
        <f t="shared" si="48"/>
        <v>3.6698478008126512</v>
      </c>
      <c r="DU24" s="766">
        <f t="shared" si="49"/>
        <v>33.481924023031787</v>
      </c>
      <c r="DV24" s="766">
        <f t="shared" si="50"/>
        <v>5.4276384202375656</v>
      </c>
      <c r="DW24" s="766">
        <f t="shared" si="51"/>
        <v>42.381076996169277</v>
      </c>
      <c r="DX24" s="766">
        <f t="shared" si="52"/>
        <v>19.264125907349669</v>
      </c>
      <c r="DY24" s="766">
        <f t="shared" si="53"/>
        <v>5.6888524966558913</v>
      </c>
      <c r="DZ24" s="766">
        <f t="shared" si="54"/>
        <v>3.9874266599691746</v>
      </c>
      <c r="EB24" s="755" t="e">
        <f>VLOOKUP(TRUE,EF22:FD121,2,FALSE)</f>
        <v>#N/A</v>
      </c>
      <c r="EC24" s="755" t="s">
        <v>1624</v>
      </c>
      <c r="ED24" s="755"/>
      <c r="EE24" s="755"/>
      <c r="EF24" s="755" t="b">
        <f t="shared" si="98"/>
        <v>0</v>
      </c>
      <c r="EG24" s="755">
        <f t="shared" si="55"/>
        <v>5.1189623843703611</v>
      </c>
      <c r="EH24" s="755">
        <v>3</v>
      </c>
      <c r="EI24" s="755">
        <f t="shared" ref="EI24:EI87" si="103">EI23+0.5</f>
        <v>8.5</v>
      </c>
      <c r="EJ24" s="673">
        <f t="shared" si="56"/>
        <v>3.3810376156296393</v>
      </c>
      <c r="EK24" s="673">
        <f t="shared" si="57"/>
        <v>2.2510196371999172</v>
      </c>
      <c r="EL24" s="755" t="b">
        <f t="shared" si="58"/>
        <v>0</v>
      </c>
      <c r="EM24" s="673"/>
      <c r="EN24" s="755">
        <f t="shared" si="59"/>
        <v>3.3810376156296393</v>
      </c>
      <c r="EO24" s="755">
        <f t="shared" si="60"/>
        <v>0.14760353212209842</v>
      </c>
      <c r="EP24" s="755">
        <f t="shared" si="61"/>
        <v>9.8723073836612663E-3</v>
      </c>
      <c r="EQ24" s="755">
        <f t="shared" si="62"/>
        <v>4.46726391739662</v>
      </c>
      <c r="ER24" s="755">
        <f t="shared" si="63"/>
        <v>2.3944914724399773</v>
      </c>
      <c r="ES24" s="755">
        <f t="shared" si="64"/>
        <v>3.226679338209919</v>
      </c>
      <c r="ET24" s="755">
        <f t="shared" si="65"/>
        <v>6.3449079869992469</v>
      </c>
      <c r="EU24" s="755">
        <f t="shared" si="66"/>
        <v>2.0566432677725812</v>
      </c>
      <c r="EV24" s="755">
        <f t="shared" si="67"/>
        <v>2.9427921088324855</v>
      </c>
      <c r="EW24" s="755">
        <f t="shared" si="68"/>
        <v>184.50441515262304</v>
      </c>
      <c r="EX24" s="755">
        <f t="shared" si="69"/>
        <v>29.909369954276599</v>
      </c>
      <c r="EY24" s="755">
        <f t="shared" si="99"/>
        <v>7.6908728651625795</v>
      </c>
      <c r="EZ24" s="755">
        <f t="shared" si="70"/>
        <v>3.4958513023466269</v>
      </c>
      <c r="FA24" s="755">
        <f t="shared" si="71"/>
        <v>3.3810376156296393</v>
      </c>
      <c r="FB24" s="755">
        <f t="shared" si="72"/>
        <v>2.988552464589755</v>
      </c>
      <c r="FC24" s="755"/>
      <c r="FD24" s="755"/>
      <c r="FE24" s="755"/>
      <c r="FF24" s="755"/>
      <c r="FG24" s="755">
        <f>VLOOKUP(TRUE,FK22:GI121,2,FALSE)</f>
        <v>0.10973539998035786</v>
      </c>
      <c r="FH24" s="755" t="s">
        <v>1624</v>
      </c>
      <c r="FI24" s="755"/>
      <c r="FJ24" s="755"/>
      <c r="FK24" s="755" t="b">
        <f t="shared" si="100"/>
        <v>0</v>
      </c>
      <c r="FL24" s="755">
        <f t="shared" si="73"/>
        <v>44.512573340030826</v>
      </c>
      <c r="FM24" s="755">
        <v>3</v>
      </c>
      <c r="FN24" s="767">
        <f t="shared" si="101"/>
        <v>48.5</v>
      </c>
      <c r="FO24" s="673">
        <f t="shared" si="74"/>
        <v>3.9874266599691746</v>
      </c>
      <c r="FP24" s="673">
        <f t="shared" si="75"/>
        <v>2.2510196371999172</v>
      </c>
      <c r="FQ24" s="766" t="b">
        <f t="shared" si="76"/>
        <v>0</v>
      </c>
      <c r="FR24" s="673"/>
      <c r="FS24" s="767">
        <f t="shared" si="77"/>
        <v>3.9874266599691746</v>
      </c>
      <c r="FT24" s="766">
        <f t="shared" si="78"/>
        <v>2.6785539218425431E-2</v>
      </c>
      <c r="FU24" s="766">
        <f t="shared" si="79"/>
        <v>1.791522687835598E-3</v>
      </c>
      <c r="FV24" s="766">
        <f t="shared" si="80"/>
        <v>5.344127215348303</v>
      </c>
      <c r="FW24" s="766">
        <f t="shared" si="81"/>
        <v>2.622545276768268</v>
      </c>
      <c r="FX24" s="766">
        <f t="shared" si="82"/>
        <v>5.5642186206205819</v>
      </c>
      <c r="FY24" s="766">
        <f t="shared" si="83"/>
        <v>10.941420409928771</v>
      </c>
      <c r="FZ24" s="766">
        <f t="shared" si="84"/>
        <v>2.5820617441084881</v>
      </c>
      <c r="GA24" s="766">
        <f t="shared" si="85"/>
        <v>3.6698478008126512</v>
      </c>
      <c r="GB24" s="766">
        <f t="shared" si="86"/>
        <v>33.481924023031787</v>
      </c>
      <c r="GC24" s="766">
        <f t="shared" si="87"/>
        <v>5.4276384202375656</v>
      </c>
      <c r="GD24" s="766">
        <f t="shared" si="88"/>
        <v>42.381076996169277</v>
      </c>
      <c r="GE24" s="766">
        <f t="shared" si="89"/>
        <v>19.264125907349669</v>
      </c>
      <c r="GF24" s="766">
        <f t="shared" si="90"/>
        <v>6.4959353831390567</v>
      </c>
      <c r="GG24" s="766">
        <f t="shared" si="91"/>
        <v>3.9874266599691746</v>
      </c>
    </row>
    <row r="25" spans="1:189" s="46" customFormat="1" ht="15.5">
      <c r="A25" s="162"/>
      <c r="B25" s="292">
        <v>5</v>
      </c>
      <c r="C25" s="675">
        <v>0.9</v>
      </c>
      <c r="D25" s="869">
        <v>30</v>
      </c>
      <c r="E25" s="869">
        <v>37.4</v>
      </c>
      <c r="F25" s="869">
        <v>1.2</v>
      </c>
      <c r="G25" s="869">
        <v>7</v>
      </c>
      <c r="H25" s="869">
        <v>0.20200000000000001</v>
      </c>
      <c r="I25" s="869">
        <v>20</v>
      </c>
      <c r="J25" s="675"/>
      <c r="K25" s="871">
        <v>13.2</v>
      </c>
      <c r="L25" s="304">
        <f t="shared" si="10"/>
        <v>0.6997644672615142</v>
      </c>
      <c r="M25" s="413">
        <f t="shared" si="11"/>
        <v>1.5394818279753313</v>
      </c>
      <c r="N25" s="296">
        <f t="shared" si="12"/>
        <v>1.9487076401190701E-2</v>
      </c>
      <c r="O25" s="1056" t="s">
        <v>923</v>
      </c>
      <c r="P25" s="1057"/>
      <c r="Q25" s="1058"/>
      <c r="R25" s="804">
        <f>IF(ISNUMBER(AW86),AW86,"")</f>
        <v>0</v>
      </c>
      <c r="S25" s="818"/>
      <c r="T25" s="819"/>
      <c r="U25" s="756" t="s">
        <v>920</v>
      </c>
      <c r="V25" s="757"/>
      <c r="W25" s="808">
        <f t="shared" si="5"/>
        <v>6.3583021835831302</v>
      </c>
      <c r="X25" s="814">
        <f>IF(ISNUMBER(CZ34),CZ34,"")</f>
        <v>1.8627496085803237</v>
      </c>
      <c r="Y25" s="814"/>
      <c r="Z25" s="815">
        <f>IF(ISNUMBER(FG34),FG34,"")</f>
        <v>2.3180686501906882</v>
      </c>
      <c r="AA25" s="694"/>
      <c r="AB25" s="161"/>
      <c r="AC25" s="161"/>
      <c r="AD25" s="161"/>
      <c r="AE25" s="161"/>
      <c r="AF25" s="161"/>
      <c r="AG25" s="161"/>
      <c r="AH25" s="161"/>
      <c r="AI25" s="161"/>
      <c r="AJ25" s="161"/>
      <c r="AK25" s="168"/>
      <c r="AL25" s="161"/>
      <c r="AM25" s="161"/>
      <c r="AN25" s="160">
        <f t="shared" si="13"/>
        <v>-10</v>
      </c>
      <c r="AO25" s="160">
        <f t="shared" si="14"/>
        <v>60</v>
      </c>
      <c r="AP25" s="160">
        <f t="shared" si="15"/>
        <v>80</v>
      </c>
      <c r="AQ25" s="31">
        <f>AVERAGE(D21:D25)</f>
        <v>33.200000000000003</v>
      </c>
      <c r="AR25" s="31">
        <f>AVERAGE(E21:E25)</f>
        <v>26.74</v>
      </c>
      <c r="AS25" s="46">
        <f>AVERAGE(AT21:AT25)</f>
        <v>2.8600000000000003</v>
      </c>
      <c r="AT25" s="46">
        <f t="shared" si="8"/>
        <v>7</v>
      </c>
      <c r="AU25" s="59">
        <f t="shared" si="16"/>
        <v>2E-3</v>
      </c>
      <c r="AV25" s="59">
        <f t="shared" si="92"/>
        <v>2E-3</v>
      </c>
      <c r="AW25" s="730">
        <f t="shared" si="17"/>
        <v>6.9499999999999993</v>
      </c>
      <c r="AX25" s="737">
        <f t="shared" si="93"/>
        <v>0.20200000000000001</v>
      </c>
      <c r="AY25" s="737">
        <f t="shared" si="18"/>
        <v>0.20200000000000001</v>
      </c>
      <c r="BA25" s="699" t="s">
        <v>8</v>
      </c>
      <c r="BB25" s="699" t="s">
        <v>11</v>
      </c>
      <c r="BC25" s="5">
        <v>35</v>
      </c>
      <c r="BD25" s="699" t="s">
        <v>1563</v>
      </c>
      <c r="BE25" s="699" t="s">
        <v>442</v>
      </c>
      <c r="BF25" s="699" t="s">
        <v>442</v>
      </c>
      <c r="BG25" s="699" t="s">
        <v>442</v>
      </c>
      <c r="BH25" s="699" t="s">
        <v>1563</v>
      </c>
      <c r="BI25" s="5"/>
      <c r="BU25" s="46" t="e">
        <f>VLOOKUP(TRUE,BY22:CW121,12,FALSE)</f>
        <v>#N/A</v>
      </c>
      <c r="BV25" s="755" t="s">
        <v>1630</v>
      </c>
      <c r="BY25" s="753" t="b">
        <f t="shared" si="94"/>
        <v>0</v>
      </c>
      <c r="BZ25" s="753">
        <f t="shared" si="19"/>
        <v>5.5563469043171931</v>
      </c>
      <c r="CA25" s="46">
        <v>4</v>
      </c>
      <c r="CB25" s="752">
        <f t="shared" si="102"/>
        <v>9</v>
      </c>
      <c r="CC25" s="673">
        <f t="shared" si="20"/>
        <v>3.4436530956828064</v>
      </c>
      <c r="CD25" s="91">
        <f t="shared" si="9"/>
        <v>2</v>
      </c>
      <c r="CE25" s="752" t="b">
        <f t="shared" si="21"/>
        <v>0</v>
      </c>
      <c r="CF25" s="673"/>
      <c r="CG25" s="752">
        <f t="shared" si="22"/>
        <v>3.4436530956828064</v>
      </c>
      <c r="CH25" s="752">
        <f t="shared" si="23"/>
        <v>0.13956278848757492</v>
      </c>
      <c r="CI25" s="752">
        <f t="shared" si="24"/>
        <v>9.3345106818345808E-3</v>
      </c>
      <c r="CJ25" s="755">
        <f t="shared" si="25"/>
        <v>4.5142227546731943</v>
      </c>
      <c r="CK25" s="755">
        <f t="shared" si="26"/>
        <v>2.4078577702337043</v>
      </c>
      <c r="CL25" s="755">
        <f t="shared" si="27"/>
        <v>3.272183015911788</v>
      </c>
      <c r="CM25" s="755">
        <f t="shared" si="28"/>
        <v>6.434385935635011</v>
      </c>
      <c r="CN25" s="755">
        <f t="shared" si="29"/>
        <v>2.0722545077193915</v>
      </c>
      <c r="CO25" s="755">
        <f t="shared" si="30"/>
        <v>2.9643482983899454</v>
      </c>
      <c r="CP25" s="755">
        <f t="shared" si="31"/>
        <v>174.45348560946866</v>
      </c>
      <c r="CQ25" s="755">
        <f t="shared" si="32"/>
        <v>28.280048673038419</v>
      </c>
      <c r="CR25" s="755">
        <f t="shared" si="95"/>
        <v>8.133973334167548</v>
      </c>
      <c r="CS25" s="755">
        <f t="shared" si="33"/>
        <v>3.6972606064397944</v>
      </c>
      <c r="CT25" s="755">
        <f t="shared" si="34"/>
        <v>3.4436530956828064</v>
      </c>
      <c r="CU25" s="755">
        <f t="shared" si="35"/>
        <v>3.018466571803279</v>
      </c>
      <c r="CX25" s="755"/>
      <c r="CY25" s="755"/>
      <c r="CZ25" s="755">
        <f>VLOOKUP(TRUE,DD22:EB121,12,FALSE)</f>
        <v>2.940084125781683</v>
      </c>
      <c r="DA25" s="755" t="s">
        <v>1630</v>
      </c>
      <c r="DB25" s="755"/>
      <c r="DC25" s="755"/>
      <c r="DD25" s="755" t="b">
        <f t="shared" si="96"/>
        <v>0</v>
      </c>
      <c r="DE25" s="755">
        <f t="shared" si="36"/>
        <v>42.327596529003756</v>
      </c>
      <c r="DF25" s="755">
        <v>4</v>
      </c>
      <c r="DG25" s="755">
        <f t="shared" si="97"/>
        <v>48</v>
      </c>
      <c r="DH25" s="673">
        <f t="shared" si="37"/>
        <v>5.6724034709962403</v>
      </c>
      <c r="DI25" s="673">
        <f t="shared" si="38"/>
        <v>2</v>
      </c>
      <c r="DJ25" s="766" t="b">
        <f t="shared" si="39"/>
        <v>0</v>
      </c>
      <c r="DK25" s="673"/>
      <c r="DL25" s="766">
        <f t="shared" si="40"/>
        <v>5.6724034709962403</v>
      </c>
      <c r="DM25" s="766">
        <f t="shared" si="41"/>
        <v>2.7058946548742975E-2</v>
      </c>
      <c r="DN25" s="766">
        <f t="shared" si="42"/>
        <v>1.8098092502710297E-3</v>
      </c>
      <c r="DO25" s="766">
        <f t="shared" si="43"/>
        <v>5.3416185834518677</v>
      </c>
      <c r="DP25" s="766">
        <f t="shared" si="44"/>
        <v>2.6219533302211691</v>
      </c>
      <c r="DQ25" s="766">
        <f t="shared" si="45"/>
        <v>4.9311961103499984</v>
      </c>
      <c r="DR25" s="766">
        <f t="shared" si="46"/>
        <v>9.6966516677102241</v>
      </c>
      <c r="DS25" s="766">
        <f t="shared" si="47"/>
        <v>2.5786088847201833</v>
      </c>
      <c r="DT25" s="766">
        <f t="shared" si="48"/>
        <v>3.6650605471627702</v>
      </c>
      <c r="DU25" s="766">
        <f t="shared" si="49"/>
        <v>33.823683185928722</v>
      </c>
      <c r="DV25" s="766">
        <f t="shared" si="50"/>
        <v>5.4830398112009888</v>
      </c>
      <c r="DW25" s="766">
        <f t="shared" si="51"/>
        <v>41.952852745212866</v>
      </c>
      <c r="DX25" s="766">
        <f t="shared" si="52"/>
        <v>19.0694785205513</v>
      </c>
      <c r="DY25" s="766">
        <f t="shared" si="53"/>
        <v>5.6724034709962403</v>
      </c>
      <c r="DZ25" s="766">
        <f t="shared" si="54"/>
        <v>3.9809169127678148</v>
      </c>
      <c r="EB25" s="755" t="e">
        <f>VLOOKUP(TRUE,EF22:FD121,12,FALSE)</f>
        <v>#N/A</v>
      </c>
      <c r="EC25" s="755" t="s">
        <v>1630</v>
      </c>
      <c r="ED25" s="755"/>
      <c r="EE25" s="755"/>
      <c r="EF25" s="755" t="b">
        <f t="shared" si="98"/>
        <v>0</v>
      </c>
      <c r="EG25" s="755">
        <f t="shared" si="55"/>
        <v>5.5563469043171931</v>
      </c>
      <c r="EH25" s="755">
        <v>4</v>
      </c>
      <c r="EI25" s="755">
        <f t="shared" si="103"/>
        <v>9</v>
      </c>
      <c r="EJ25" s="673">
        <f t="shared" si="56"/>
        <v>3.4436530956828064</v>
      </c>
      <c r="EK25" s="673">
        <f t="shared" si="57"/>
        <v>2.2510196371999172</v>
      </c>
      <c r="EL25" s="755" t="b">
        <f t="shared" si="58"/>
        <v>0</v>
      </c>
      <c r="EM25" s="673"/>
      <c r="EN25" s="755">
        <f t="shared" si="59"/>
        <v>3.4436530956828064</v>
      </c>
      <c r="EO25" s="755">
        <f t="shared" si="60"/>
        <v>0.13956278848757492</v>
      </c>
      <c r="EP25" s="755">
        <f t="shared" si="61"/>
        <v>9.3345106818345808E-3</v>
      </c>
      <c r="EQ25" s="755">
        <f t="shared" si="62"/>
        <v>4.5142227546731943</v>
      </c>
      <c r="ER25" s="755">
        <f t="shared" si="63"/>
        <v>2.4078577702337043</v>
      </c>
      <c r="ES25" s="755">
        <f t="shared" si="64"/>
        <v>3.272183015911788</v>
      </c>
      <c r="ET25" s="755">
        <f t="shared" si="65"/>
        <v>6.434385935635011</v>
      </c>
      <c r="EU25" s="755">
        <f t="shared" si="66"/>
        <v>2.0722545077193915</v>
      </c>
      <c r="EV25" s="755">
        <f t="shared" si="67"/>
        <v>2.9643482983899454</v>
      </c>
      <c r="EW25" s="755">
        <f t="shared" si="68"/>
        <v>174.45348560946866</v>
      </c>
      <c r="EX25" s="755">
        <f t="shared" si="69"/>
        <v>28.280048673038419</v>
      </c>
      <c r="EY25" s="755">
        <f t="shared" si="99"/>
        <v>8.133973334167548</v>
      </c>
      <c r="EZ25" s="755">
        <f t="shared" si="70"/>
        <v>3.6972606064397944</v>
      </c>
      <c r="FA25" s="755">
        <f t="shared" si="71"/>
        <v>3.4436530956828064</v>
      </c>
      <c r="FB25" s="755">
        <f t="shared" si="72"/>
        <v>3.018466571803279</v>
      </c>
      <c r="FC25" s="755"/>
      <c r="FD25" s="755"/>
      <c r="FE25" s="755"/>
      <c r="FF25" s="755"/>
      <c r="FG25" s="755">
        <f>VLOOKUP(TRUE,FK22:GI121,12,FALSE)</f>
        <v>3.1993637952200089</v>
      </c>
      <c r="FH25" s="755" t="s">
        <v>1630</v>
      </c>
      <c r="FI25" s="755"/>
      <c r="FJ25" s="755"/>
      <c r="FK25" s="755" t="b">
        <f t="shared" si="100"/>
        <v>0</v>
      </c>
      <c r="FL25" s="755">
        <f t="shared" si="73"/>
        <v>44.019083087232183</v>
      </c>
      <c r="FM25" s="755">
        <v>4</v>
      </c>
      <c r="FN25" s="767">
        <f t="shared" si="101"/>
        <v>48</v>
      </c>
      <c r="FO25" s="673">
        <f t="shared" si="74"/>
        <v>3.9809169127678148</v>
      </c>
      <c r="FP25" s="673">
        <f t="shared" si="75"/>
        <v>2.2510196371999172</v>
      </c>
      <c r="FQ25" s="766" t="b">
        <f t="shared" si="76"/>
        <v>0</v>
      </c>
      <c r="FR25" s="673"/>
      <c r="FS25" s="767">
        <f t="shared" si="77"/>
        <v>3.9809169127678148</v>
      </c>
      <c r="FT25" s="766">
        <f t="shared" si="78"/>
        <v>2.7058946548742975E-2</v>
      </c>
      <c r="FU25" s="766">
        <f t="shared" si="79"/>
        <v>1.8098092502710297E-3</v>
      </c>
      <c r="FV25" s="766">
        <f t="shared" si="80"/>
        <v>5.3416185834518677</v>
      </c>
      <c r="FW25" s="766">
        <f t="shared" si="81"/>
        <v>2.6219533302211691</v>
      </c>
      <c r="FX25" s="766">
        <f t="shared" si="82"/>
        <v>5.5501096396408478</v>
      </c>
      <c r="FY25" s="766">
        <f t="shared" si="83"/>
        <v>10.91367665955152</v>
      </c>
      <c r="FZ25" s="766">
        <f t="shared" si="84"/>
        <v>2.5786088847201833</v>
      </c>
      <c r="GA25" s="766">
        <f t="shared" si="85"/>
        <v>3.6650605471627702</v>
      </c>
      <c r="GB25" s="766">
        <f t="shared" si="86"/>
        <v>33.823683185928722</v>
      </c>
      <c r="GC25" s="766">
        <f t="shared" si="87"/>
        <v>5.4830398112009888</v>
      </c>
      <c r="GD25" s="766">
        <f t="shared" si="88"/>
        <v>41.952852745212866</v>
      </c>
      <c r="GE25" s="766">
        <f t="shared" si="89"/>
        <v>19.0694785205513</v>
      </c>
      <c r="GF25" s="766">
        <f t="shared" si="90"/>
        <v>6.4777369848592752</v>
      </c>
      <c r="GG25" s="766">
        <f t="shared" si="91"/>
        <v>3.9809169127678148</v>
      </c>
    </row>
    <row r="26" spans="1:189" s="46" customFormat="1" ht="15.5">
      <c r="A26" s="162"/>
      <c r="B26" s="292">
        <v>6</v>
      </c>
      <c r="C26" s="675">
        <v>1.2</v>
      </c>
      <c r="D26" s="869">
        <v>24</v>
      </c>
      <c r="E26" s="869">
        <v>31.5</v>
      </c>
      <c r="F26" s="869"/>
      <c r="G26" s="869">
        <v>5</v>
      </c>
      <c r="H26" s="869">
        <v>0.104</v>
      </c>
      <c r="I26" s="869">
        <v>10</v>
      </c>
      <c r="J26" s="675"/>
      <c r="K26" s="871">
        <v>13.4</v>
      </c>
      <c r="L26" s="304">
        <f t="shared" si="10"/>
        <v>0.37839903220351312</v>
      </c>
      <c r="M26" s="413">
        <f t="shared" si="11"/>
        <v>0.83247787084772895</v>
      </c>
      <c r="N26" s="296">
        <f t="shared" si="12"/>
        <v>3.6036993955707669E-2</v>
      </c>
      <c r="O26" s="1056" t="s">
        <v>924</v>
      </c>
      <c r="P26" s="1057"/>
      <c r="Q26" s="1058"/>
      <c r="R26" s="804">
        <f>IF(ISNUMBER(AW87),AW87,"")</f>
        <v>0</v>
      </c>
      <c r="S26" s="818"/>
      <c r="T26" s="819"/>
      <c r="U26" s="756" t="s">
        <v>921</v>
      </c>
      <c r="V26" s="757"/>
      <c r="W26" s="808">
        <f t="shared" si="5"/>
        <v>2.8901373561741499</v>
      </c>
      <c r="X26" s="846">
        <f t="shared" ref="X26:X28" si="104">IF(ISNUMBER(CZ35),CZ35,"")</f>
        <v>0.84670436753651068</v>
      </c>
      <c r="Y26" s="814"/>
      <c r="Z26" s="847">
        <f t="shared" ref="Z26:Z28" si="105">IF(ISNUMBER(FG35),FG35,"")</f>
        <v>1.0536675682684946</v>
      </c>
      <c r="AA26" s="694"/>
      <c r="AB26" s="161"/>
      <c r="AC26" s="161"/>
      <c r="AD26" s="161"/>
      <c r="AE26" s="161"/>
      <c r="AF26" s="161"/>
      <c r="AG26" s="161"/>
      <c r="AH26" s="161"/>
      <c r="AI26" s="161"/>
      <c r="AJ26" s="161"/>
      <c r="AK26" s="168"/>
      <c r="AL26" s="161"/>
      <c r="AM26" s="161"/>
      <c r="AN26" s="160">
        <f t="shared" si="13"/>
        <v>20</v>
      </c>
      <c r="AO26" s="160">
        <f t="shared" si="14"/>
        <v>90</v>
      </c>
      <c r="AP26" s="160">
        <f t="shared" si="15"/>
        <v>110</v>
      </c>
      <c r="AQ26" s="31">
        <f>AVERAGE(D21:D26)</f>
        <v>31.666666666666668</v>
      </c>
      <c r="AR26" s="31">
        <f>AVERAGE(E21:E26)</f>
        <v>27.533333333333331</v>
      </c>
      <c r="AS26" s="46">
        <f>AVERAGE(AT21:AT26)</f>
        <v>3.2166666666666668</v>
      </c>
      <c r="AT26" s="46">
        <f t="shared" si="8"/>
        <v>5</v>
      </c>
      <c r="AU26" s="59">
        <f t="shared" si="16"/>
        <v>1E-3</v>
      </c>
      <c r="AV26" s="59">
        <f t="shared" si="92"/>
        <v>1E-3</v>
      </c>
      <c r="AW26" s="730">
        <f t="shared" si="17"/>
        <v>6.0649999999999995</v>
      </c>
      <c r="AX26" s="737">
        <f t="shared" si="93"/>
        <v>0.104</v>
      </c>
      <c r="AY26" s="737">
        <f t="shared" si="18"/>
        <v>0.104</v>
      </c>
      <c r="BA26" s="699">
        <f>IF(R50&lt;15,0,IF(AND(R50&gt;=15,R50&lt;25),15,IF(AND(R50&gt;=25,R50&lt;35),25,IF(AND(R50&gt;=35,R50&lt;45),35,IF(AND(R50&gt;=45,R50&lt;55),55,IF(AND(R50&lt;=55,R50&lt;65),55,IF(AND(R50&gt;=65,R50&lt;75),65,IF(R50&gt;=75,75,""))))))))</f>
        <v>15</v>
      </c>
      <c r="BB26" s="699">
        <f>IF(U50&lt;0.35,0,IF(AND(U50&gt;=0.35,U50&lt;0.55),0.35,IF(AND(U50&gt;=0.55,U50&lt;0.75),0.55,IF(AND(U50&gt;=0.75,U50&lt;0.95),0.75,IF(U50&gt;0.95,0.95,"")))))</f>
        <v>0.35</v>
      </c>
      <c r="BC26" s="5">
        <v>45</v>
      </c>
      <c r="BD26" s="50" t="s">
        <v>442</v>
      </c>
      <c r="BE26" s="699" t="s">
        <v>1563</v>
      </c>
      <c r="BF26" s="699" t="s">
        <v>1563</v>
      </c>
      <c r="BG26" s="699" t="s">
        <v>1563</v>
      </c>
      <c r="BH26" s="46" t="s">
        <v>442</v>
      </c>
      <c r="BI26" s="5"/>
      <c r="BU26" s="46" t="e">
        <f>VLOOKUP(TRUE,BY22:CW121,13,FALSE)</f>
        <v>#N/A</v>
      </c>
      <c r="BV26" s="1056" t="s">
        <v>915</v>
      </c>
      <c r="BW26" s="1057"/>
      <c r="BX26" s="1058"/>
      <c r="BY26" s="753" t="b">
        <f t="shared" si="94"/>
        <v>0</v>
      </c>
      <c r="BZ26" s="753">
        <f t="shared" si="19"/>
        <v>5.9963814394875765</v>
      </c>
      <c r="CA26" s="46">
        <v>5</v>
      </c>
      <c r="CB26" s="752">
        <f t="shared" si="102"/>
        <v>9.5</v>
      </c>
      <c r="CC26" s="673">
        <f t="shared" si="20"/>
        <v>3.503618560512423</v>
      </c>
      <c r="CD26" s="91">
        <f t="shared" si="9"/>
        <v>2</v>
      </c>
      <c r="CE26" s="752" t="b">
        <f t="shared" si="21"/>
        <v>0</v>
      </c>
      <c r="CF26" s="673"/>
      <c r="CG26" s="752">
        <f t="shared" si="22"/>
        <v>3.503618560512423</v>
      </c>
      <c r="CH26" s="752">
        <f t="shared" si="23"/>
        <v>0.13236042842157381</v>
      </c>
      <c r="CI26" s="752">
        <f t="shared" si="24"/>
        <v>8.8527883853752234E-3</v>
      </c>
      <c r="CJ26" s="755">
        <f t="shared" si="25"/>
        <v>4.5573919224527328</v>
      </c>
      <c r="CK26" s="755">
        <f t="shared" si="26"/>
        <v>2.4200224082132031</v>
      </c>
      <c r="CL26" s="755">
        <f t="shared" si="27"/>
        <v>3.3158162425610698</v>
      </c>
      <c r="CM26" s="755">
        <f t="shared" si="28"/>
        <v>6.5201858491830258</v>
      </c>
      <c r="CN26" s="755">
        <f t="shared" si="29"/>
        <v>2.0871167366007546</v>
      </c>
      <c r="CO26" s="755">
        <f t="shared" si="30"/>
        <v>2.9848731526174066</v>
      </c>
      <c r="CP26" s="755">
        <f t="shared" si="31"/>
        <v>165.45053552696726</v>
      </c>
      <c r="CQ26" s="755">
        <f t="shared" si="32"/>
        <v>26.82061170252107</v>
      </c>
      <c r="CR26" s="755">
        <f t="shared" si="95"/>
        <v>8.576581486910408</v>
      </c>
      <c r="CS26" s="755">
        <f t="shared" si="33"/>
        <v>3.8984461304138214</v>
      </c>
      <c r="CT26" s="755">
        <f t="shared" si="34"/>
        <v>3.503618560512423</v>
      </c>
      <c r="CU26" s="755">
        <f t="shared" si="35"/>
        <v>3.0469323265593338</v>
      </c>
      <c r="CX26" s="755"/>
      <c r="CY26" s="755"/>
      <c r="CZ26" s="755">
        <f>VLOOKUP(TRUE,DD22:EB121,13,FALSE)</f>
        <v>1.8721344002754694</v>
      </c>
      <c r="DA26" s="1056" t="s">
        <v>915</v>
      </c>
      <c r="DB26" s="1057"/>
      <c r="DC26" s="1058"/>
      <c r="DD26" s="755" t="b">
        <f t="shared" si="96"/>
        <v>0</v>
      </c>
      <c r="DE26" s="755">
        <f t="shared" si="36"/>
        <v>41.84418123966276</v>
      </c>
      <c r="DF26" s="755">
        <v>5</v>
      </c>
      <c r="DG26" s="755">
        <f t="shared" si="97"/>
        <v>47.5</v>
      </c>
      <c r="DH26" s="673">
        <f t="shared" si="37"/>
        <v>5.6558187603372367</v>
      </c>
      <c r="DI26" s="673">
        <f t="shared" si="38"/>
        <v>2</v>
      </c>
      <c r="DJ26" s="766" t="b">
        <f t="shared" si="39"/>
        <v>0</v>
      </c>
      <c r="DK26" s="673"/>
      <c r="DL26" s="766">
        <f t="shared" si="40"/>
        <v>5.6558187603372367</v>
      </c>
      <c r="DM26" s="766">
        <f t="shared" si="41"/>
        <v>2.7338051666754681E-2</v>
      </c>
      <c r="DN26" s="766">
        <f t="shared" si="42"/>
        <v>1.828476903258394E-3</v>
      </c>
      <c r="DO26" s="766">
        <f t="shared" si="43"/>
        <v>5.339060827576712</v>
      </c>
      <c r="DP26" s="766">
        <f t="shared" si="44"/>
        <v>2.6213494608136707</v>
      </c>
      <c r="DQ26" s="766">
        <f t="shared" si="45"/>
        <v>4.918561496003945</v>
      </c>
      <c r="DR26" s="766">
        <f t="shared" si="46"/>
        <v>9.6718070962253453</v>
      </c>
      <c r="DS26" s="766">
        <f t="shared" si="47"/>
        <v>2.5751241271154957</v>
      </c>
      <c r="DT26" s="766">
        <f t="shared" si="48"/>
        <v>3.6602291779587173</v>
      </c>
      <c r="DU26" s="766">
        <f t="shared" si="49"/>
        <v>34.172564583443354</v>
      </c>
      <c r="DV26" s="766">
        <f t="shared" si="50"/>
        <v>5.5395957628826782</v>
      </c>
      <c r="DW26" s="766">
        <f t="shared" si="51"/>
        <v>41.524539269947191</v>
      </c>
      <c r="DX26" s="766">
        <f t="shared" si="52"/>
        <v>18.874790577248721</v>
      </c>
      <c r="DY26" s="766">
        <f t="shared" si="53"/>
        <v>5.6558187603372367</v>
      </c>
      <c r="DZ26" s="766">
        <f t="shared" si="54"/>
        <v>3.9743462818349871</v>
      </c>
      <c r="EB26" s="755" t="e">
        <f>VLOOKUP(TRUE,EF22:FD121,13,FALSE)</f>
        <v>#N/A</v>
      </c>
      <c r="EC26" s="1056" t="s">
        <v>915</v>
      </c>
      <c r="ED26" s="1057"/>
      <c r="EE26" s="1058"/>
      <c r="EF26" s="755" t="b">
        <f t="shared" si="98"/>
        <v>0</v>
      </c>
      <c r="EG26" s="755">
        <f t="shared" si="55"/>
        <v>5.9963814394875765</v>
      </c>
      <c r="EH26" s="755">
        <v>5</v>
      </c>
      <c r="EI26" s="755">
        <f t="shared" si="103"/>
        <v>9.5</v>
      </c>
      <c r="EJ26" s="673">
        <f t="shared" si="56"/>
        <v>3.503618560512423</v>
      </c>
      <c r="EK26" s="673">
        <f t="shared" si="57"/>
        <v>2.2510196371999172</v>
      </c>
      <c r="EL26" s="755" t="b">
        <f t="shared" si="58"/>
        <v>0</v>
      </c>
      <c r="EM26" s="673"/>
      <c r="EN26" s="755">
        <f t="shared" si="59"/>
        <v>3.503618560512423</v>
      </c>
      <c r="EO26" s="755">
        <f t="shared" si="60"/>
        <v>0.13236042842157381</v>
      </c>
      <c r="EP26" s="755">
        <f t="shared" si="61"/>
        <v>8.8527883853752234E-3</v>
      </c>
      <c r="EQ26" s="755">
        <f t="shared" si="62"/>
        <v>4.5573919224527328</v>
      </c>
      <c r="ER26" s="755">
        <f t="shared" si="63"/>
        <v>2.4200224082132031</v>
      </c>
      <c r="ES26" s="755">
        <f t="shared" si="64"/>
        <v>3.3158162425610698</v>
      </c>
      <c r="ET26" s="755">
        <f t="shared" si="65"/>
        <v>6.5201858491830258</v>
      </c>
      <c r="EU26" s="755">
        <f t="shared" si="66"/>
        <v>2.0871167366007546</v>
      </c>
      <c r="EV26" s="755">
        <f t="shared" si="67"/>
        <v>2.9848731526174066</v>
      </c>
      <c r="EW26" s="755">
        <f t="shared" si="68"/>
        <v>165.45053552696726</v>
      </c>
      <c r="EX26" s="755">
        <f t="shared" si="69"/>
        <v>26.82061170252107</v>
      </c>
      <c r="EY26" s="755">
        <f t="shared" si="99"/>
        <v>8.576581486910408</v>
      </c>
      <c r="EZ26" s="755">
        <f t="shared" si="70"/>
        <v>3.8984461304138214</v>
      </c>
      <c r="FA26" s="755">
        <f t="shared" si="71"/>
        <v>3.503618560512423</v>
      </c>
      <c r="FB26" s="755">
        <f t="shared" si="72"/>
        <v>3.0469323265593338</v>
      </c>
      <c r="FC26" s="755"/>
      <c r="FD26" s="755"/>
      <c r="FE26" s="755"/>
      <c r="FF26" s="755"/>
      <c r="FG26" s="755">
        <f>VLOOKUP(TRUE,FK22:GI121,13,FALSE)</f>
        <v>1.9742299793935443</v>
      </c>
      <c r="FH26" s="1056" t="s">
        <v>915</v>
      </c>
      <c r="FI26" s="1057"/>
      <c r="FJ26" s="1058"/>
      <c r="FK26" s="755" t="b">
        <f t="shared" si="100"/>
        <v>0</v>
      </c>
      <c r="FL26" s="755">
        <f t="shared" si="73"/>
        <v>43.52565371816501</v>
      </c>
      <c r="FM26" s="755">
        <v>5</v>
      </c>
      <c r="FN26" s="767">
        <f t="shared" si="101"/>
        <v>47.5</v>
      </c>
      <c r="FO26" s="673">
        <f t="shared" si="74"/>
        <v>3.9743462818349871</v>
      </c>
      <c r="FP26" s="673">
        <f t="shared" si="75"/>
        <v>2.2510196371999172</v>
      </c>
      <c r="FQ26" s="766" t="b">
        <f t="shared" si="76"/>
        <v>0</v>
      </c>
      <c r="FR26" s="673"/>
      <c r="FS26" s="767">
        <f t="shared" si="77"/>
        <v>3.9743462818349871</v>
      </c>
      <c r="FT26" s="766">
        <f t="shared" si="78"/>
        <v>2.7338051666754681E-2</v>
      </c>
      <c r="FU26" s="766">
        <f t="shared" si="79"/>
        <v>1.828476903258394E-3</v>
      </c>
      <c r="FV26" s="766">
        <f t="shared" si="80"/>
        <v>5.339060827576712</v>
      </c>
      <c r="FW26" s="766">
        <f t="shared" si="81"/>
        <v>2.6213494608136707</v>
      </c>
      <c r="FX26" s="766">
        <f t="shared" si="82"/>
        <v>5.5358892571401412</v>
      </c>
      <c r="FY26" s="766">
        <f t="shared" si="83"/>
        <v>10.885713850406381</v>
      </c>
      <c r="FZ26" s="766">
        <f t="shared" si="84"/>
        <v>2.5751241271154957</v>
      </c>
      <c r="GA26" s="766">
        <f t="shared" si="85"/>
        <v>3.6602291779587173</v>
      </c>
      <c r="GB26" s="766">
        <f t="shared" si="86"/>
        <v>34.172564583443354</v>
      </c>
      <c r="GC26" s="766">
        <f t="shared" si="87"/>
        <v>5.5395957628826782</v>
      </c>
      <c r="GD26" s="766">
        <f t="shared" si="88"/>
        <v>41.524539269947191</v>
      </c>
      <c r="GE26" s="766">
        <f t="shared" si="89"/>
        <v>18.874790577248721</v>
      </c>
      <c r="GF26" s="766">
        <f t="shared" si="90"/>
        <v>6.4593877265690356</v>
      </c>
      <c r="GG26" s="766">
        <f t="shared" si="91"/>
        <v>3.9743462818349871</v>
      </c>
    </row>
    <row r="27" spans="1:189" s="5" customFormat="1" ht="15.5">
      <c r="A27" s="162"/>
      <c r="B27" s="292">
        <v>7</v>
      </c>
      <c r="C27" s="675"/>
      <c r="D27" s="675"/>
      <c r="E27" s="675"/>
      <c r="F27" s="675"/>
      <c r="G27" s="675"/>
      <c r="H27" s="298"/>
      <c r="I27" s="675"/>
      <c r="J27" s="675"/>
      <c r="K27" s="668"/>
      <c r="L27" s="304" t="str">
        <f t="shared" si="10"/>
        <v/>
      </c>
      <c r="M27" s="413" t="str">
        <f t="shared" si="11"/>
        <v/>
      </c>
      <c r="N27" s="296" t="str">
        <f t="shared" si="12"/>
        <v/>
      </c>
      <c r="O27" s="1056" t="s">
        <v>925</v>
      </c>
      <c r="P27" s="1057"/>
      <c r="Q27" s="1058"/>
      <c r="R27" s="782">
        <f>IF(ISNUMBER(AW88),AW88,"")</f>
        <v>0</v>
      </c>
      <c r="S27" s="818"/>
      <c r="T27" s="819"/>
      <c r="U27" s="756" t="s">
        <v>751</v>
      </c>
      <c r="V27" s="757"/>
      <c r="W27" s="808">
        <f t="shared" si="5"/>
        <v>3.1741998387301842</v>
      </c>
      <c r="X27" s="846">
        <f t="shared" si="104"/>
        <v>2.036481703304891</v>
      </c>
      <c r="Y27" s="814"/>
      <c r="Z27" s="847">
        <f t="shared" si="105"/>
        <v>2.6375807084466252</v>
      </c>
      <c r="AA27" s="694"/>
      <c r="AB27" s="161"/>
      <c r="AC27" s="161"/>
      <c r="AD27" s="161"/>
      <c r="AE27" s="161"/>
      <c r="AF27" s="161"/>
      <c r="AG27" s="161"/>
      <c r="AH27" s="161"/>
      <c r="AI27" s="161"/>
      <c r="AJ27" s="161"/>
      <c r="AK27" s="168"/>
      <c r="AL27" s="161"/>
      <c r="AM27" s="161"/>
      <c r="AN27" s="160" t="str">
        <f t="shared" si="13"/>
        <v/>
      </c>
      <c r="AO27" s="160" t="str">
        <f t="shared" si="14"/>
        <v/>
      </c>
      <c r="AP27" s="160" t="str">
        <f t="shared" si="15"/>
        <v/>
      </c>
      <c r="AQ27" s="31">
        <f>AVERAGE(D21:D27)</f>
        <v>31.666666666666668</v>
      </c>
      <c r="AR27" s="31">
        <f>AVERAGE(E21:E27)</f>
        <v>27.533333333333331</v>
      </c>
      <c r="AS27" s="46">
        <f>AVERAGE(AT21:AT27)</f>
        <v>3.2166666666666668</v>
      </c>
      <c r="AT27" s="46" t="str">
        <f t="shared" si="8"/>
        <v/>
      </c>
      <c r="AU27" s="59">
        <f t="shared" si="16"/>
        <v>0</v>
      </c>
      <c r="AV27" s="59" t="str">
        <f t="shared" si="92"/>
        <v/>
      </c>
      <c r="AW27" s="730" t="str">
        <f t="shared" si="17"/>
        <v>No Data</v>
      </c>
      <c r="AX27" s="737">
        <f t="shared" si="93"/>
        <v>0</v>
      </c>
      <c r="AY27" s="737" t="str">
        <f t="shared" si="18"/>
        <v/>
      </c>
      <c r="BA27" s="699" t="str">
        <f>VLOOKUP(BA26,BC22:BH29,BB27+1,TRUE)</f>
        <v>High</v>
      </c>
      <c r="BB27" s="699">
        <f>IF(BB26=0,1,IF(BB26=0.35,2,IF(BB26=0.55,3,IF(BB26=0.75,4,IF(BB26=0.95,5,"")))))</f>
        <v>2</v>
      </c>
      <c r="BC27" s="5">
        <v>55</v>
      </c>
      <c r="BD27" s="5" t="s">
        <v>442</v>
      </c>
      <c r="BE27" s="5" t="s">
        <v>442</v>
      </c>
      <c r="BF27" s="699" t="s">
        <v>1563</v>
      </c>
      <c r="BG27" s="699" t="s">
        <v>1563</v>
      </c>
      <c r="BH27" s="5" t="s">
        <v>440</v>
      </c>
      <c r="BU27" s="5" t="e">
        <f>VLOOKUP(TRUE,BY22:CW121,14,FALSE)</f>
        <v>#N/A</v>
      </c>
      <c r="BV27" s="1056" t="s">
        <v>916</v>
      </c>
      <c r="BW27" s="1057"/>
      <c r="BX27" s="1058"/>
      <c r="BY27" s="753" t="b">
        <f t="shared" si="94"/>
        <v>0</v>
      </c>
      <c r="BZ27" s="753">
        <f t="shared" si="19"/>
        <v>6.438823690501831</v>
      </c>
      <c r="CA27" s="751">
        <v>6</v>
      </c>
      <c r="CB27" s="752">
        <f t="shared" si="102"/>
        <v>10</v>
      </c>
      <c r="CC27" s="673">
        <f t="shared" si="20"/>
        <v>3.5611763094981694</v>
      </c>
      <c r="CD27" s="91">
        <f t="shared" si="9"/>
        <v>2</v>
      </c>
      <c r="CE27" s="752" t="b">
        <f t="shared" si="21"/>
        <v>0</v>
      </c>
      <c r="CF27" s="673"/>
      <c r="CG27" s="752">
        <f t="shared" si="22"/>
        <v>3.5611763094981694</v>
      </c>
      <c r="CH27" s="752">
        <f t="shared" si="23"/>
        <v>0.12587146803481825</v>
      </c>
      <c r="CI27" s="752">
        <f t="shared" si="24"/>
        <v>8.4187810779792135E-3</v>
      </c>
      <c r="CJ27" s="755">
        <f t="shared" si="25"/>
        <v>4.5972173138530579</v>
      </c>
      <c r="CK27" s="755">
        <f t="shared" si="26"/>
        <v>2.4311414875077828</v>
      </c>
      <c r="CL27" s="755">
        <f t="shared" si="27"/>
        <v>3.3577485583965005</v>
      </c>
      <c r="CM27" s="755">
        <f t="shared" si="28"/>
        <v>6.6026411097684186</v>
      </c>
      <c r="CN27" s="755">
        <f t="shared" si="29"/>
        <v>2.1013026426164578</v>
      </c>
      <c r="CO27" s="755">
        <f t="shared" si="30"/>
        <v>3.0044666224597925</v>
      </c>
      <c r="CP27" s="755">
        <f t="shared" si="31"/>
        <v>157.33933504352279</v>
      </c>
      <c r="CQ27" s="755">
        <f t="shared" si="32"/>
        <v>25.505733162449459</v>
      </c>
      <c r="CR27" s="755">
        <f t="shared" si="95"/>
        <v>9.0187237641971709</v>
      </c>
      <c r="CS27" s="755">
        <f t="shared" si="33"/>
        <v>4.0994198928168952</v>
      </c>
      <c r="CT27" s="755">
        <f t="shared" si="34"/>
        <v>3.5611763094981694</v>
      </c>
      <c r="CU27" s="755">
        <f t="shared" si="35"/>
        <v>3.0740907660408299</v>
      </c>
      <c r="CX27" s="755"/>
      <c r="CY27" s="755"/>
      <c r="CZ27" s="755">
        <f>VLOOKUP(TRUE,DD22:EB121,14,FALSE)</f>
        <v>2.263604352088028</v>
      </c>
      <c r="DA27" s="1056" t="s">
        <v>916</v>
      </c>
      <c r="DB27" s="1057"/>
      <c r="DC27" s="1058"/>
      <c r="DD27" s="755" t="b">
        <f t="shared" si="96"/>
        <v>0</v>
      </c>
      <c r="DE27" s="755">
        <f t="shared" si="36"/>
        <v>41.360904186539905</v>
      </c>
      <c r="DF27" s="755">
        <v>6</v>
      </c>
      <c r="DG27" s="755">
        <f t="shared" si="97"/>
        <v>47</v>
      </c>
      <c r="DH27" s="673">
        <f t="shared" si="37"/>
        <v>5.6390958134600959</v>
      </c>
      <c r="DI27" s="673">
        <f t="shared" si="38"/>
        <v>2</v>
      </c>
      <c r="DJ27" s="766" t="b">
        <f t="shared" si="39"/>
        <v>0</v>
      </c>
      <c r="DK27" s="673"/>
      <c r="DL27" s="766">
        <f t="shared" si="40"/>
        <v>5.6390958134600959</v>
      </c>
      <c r="DM27" s="766">
        <f t="shared" si="41"/>
        <v>2.7623035185372718E-2</v>
      </c>
      <c r="DN27" s="766">
        <f t="shared" si="42"/>
        <v>1.8475377269028261E-3</v>
      </c>
      <c r="DO27" s="766">
        <f t="shared" si="43"/>
        <v>5.3364524843478645</v>
      </c>
      <c r="DP27" s="766">
        <f t="shared" si="44"/>
        <v>2.620733303258632</v>
      </c>
      <c r="DQ27" s="766">
        <f t="shared" si="45"/>
        <v>4.9058260670835239</v>
      </c>
      <c r="DR27" s="766">
        <f t="shared" si="46"/>
        <v>9.6467642840319705</v>
      </c>
      <c r="DS27" s="766">
        <f t="shared" si="47"/>
        <v>2.5716068357870152</v>
      </c>
      <c r="DT27" s="766">
        <f t="shared" si="48"/>
        <v>3.655352815464652</v>
      </c>
      <c r="DU27" s="766">
        <f t="shared" si="49"/>
        <v>34.5287939817159</v>
      </c>
      <c r="DV27" s="766">
        <f t="shared" si="50"/>
        <v>5.5973428734475359</v>
      </c>
      <c r="DW27" s="766">
        <f t="shared" si="51"/>
        <v>41.096135612248894</v>
      </c>
      <c r="DX27" s="766">
        <f t="shared" si="52"/>
        <v>18.680061641931314</v>
      </c>
      <c r="DY27" s="766">
        <f t="shared" si="53"/>
        <v>5.6390958134600959</v>
      </c>
      <c r="DZ27" s="766">
        <f t="shared" si="54"/>
        <v>3.9677135483915569</v>
      </c>
      <c r="EB27" s="755" t="e">
        <f>VLOOKUP(TRUE,EF22:FD121,14,FALSE)</f>
        <v>#N/A</v>
      </c>
      <c r="EC27" s="1056" t="s">
        <v>916</v>
      </c>
      <c r="ED27" s="1057"/>
      <c r="EE27" s="1058"/>
      <c r="EF27" s="755" t="b">
        <f t="shared" si="98"/>
        <v>0</v>
      </c>
      <c r="EG27" s="755">
        <f t="shared" si="55"/>
        <v>6.438823690501831</v>
      </c>
      <c r="EH27" s="755">
        <v>6</v>
      </c>
      <c r="EI27" s="755">
        <f t="shared" si="103"/>
        <v>10</v>
      </c>
      <c r="EJ27" s="673">
        <f t="shared" si="56"/>
        <v>3.5611763094981694</v>
      </c>
      <c r="EK27" s="673">
        <f t="shared" si="57"/>
        <v>2.2510196371999172</v>
      </c>
      <c r="EL27" s="755" t="b">
        <f t="shared" si="58"/>
        <v>0</v>
      </c>
      <c r="EM27" s="673"/>
      <c r="EN27" s="755">
        <f t="shared" si="59"/>
        <v>3.5611763094981694</v>
      </c>
      <c r="EO27" s="755">
        <f t="shared" si="60"/>
        <v>0.12587146803481825</v>
      </c>
      <c r="EP27" s="755">
        <f t="shared" si="61"/>
        <v>8.4187810779792135E-3</v>
      </c>
      <c r="EQ27" s="755">
        <f t="shared" si="62"/>
        <v>4.5972173138530579</v>
      </c>
      <c r="ER27" s="755">
        <f t="shared" si="63"/>
        <v>2.4311414875077828</v>
      </c>
      <c r="ES27" s="755">
        <f t="shared" si="64"/>
        <v>3.3577485583965005</v>
      </c>
      <c r="ET27" s="755">
        <f t="shared" si="65"/>
        <v>6.6026411097684186</v>
      </c>
      <c r="EU27" s="755">
        <f t="shared" si="66"/>
        <v>2.1013026426164578</v>
      </c>
      <c r="EV27" s="755">
        <f t="shared" si="67"/>
        <v>3.0044666224597925</v>
      </c>
      <c r="EW27" s="755">
        <f t="shared" si="68"/>
        <v>157.33933504352279</v>
      </c>
      <c r="EX27" s="755">
        <f t="shared" si="69"/>
        <v>25.505733162449459</v>
      </c>
      <c r="EY27" s="755">
        <f t="shared" si="99"/>
        <v>9.0187237641971709</v>
      </c>
      <c r="EZ27" s="755">
        <f t="shared" si="70"/>
        <v>4.0994198928168952</v>
      </c>
      <c r="FA27" s="755">
        <f t="shared" si="71"/>
        <v>3.5611763094981694</v>
      </c>
      <c r="FB27" s="755">
        <f t="shared" si="72"/>
        <v>3.0740907660408299</v>
      </c>
      <c r="FC27" s="755"/>
      <c r="FD27" s="755"/>
      <c r="FE27" s="755"/>
      <c r="FF27" s="755"/>
      <c r="FG27" s="755">
        <f>VLOOKUP(TRUE,FK22:GI121,14,FALSE)</f>
        <v>2.6908702763284049</v>
      </c>
      <c r="FH27" s="1056" t="s">
        <v>916</v>
      </c>
      <c r="FI27" s="1057"/>
      <c r="FJ27" s="1058"/>
      <c r="FK27" s="755" t="b">
        <f t="shared" si="100"/>
        <v>0</v>
      </c>
      <c r="FL27" s="755">
        <f t="shared" si="73"/>
        <v>43.032286451608442</v>
      </c>
      <c r="FM27" s="755">
        <v>6</v>
      </c>
      <c r="FN27" s="767">
        <f t="shared" si="101"/>
        <v>47</v>
      </c>
      <c r="FO27" s="673">
        <f t="shared" si="74"/>
        <v>3.9677135483915569</v>
      </c>
      <c r="FP27" s="673">
        <f t="shared" si="75"/>
        <v>2.2510196371999172</v>
      </c>
      <c r="FQ27" s="766" t="b">
        <f t="shared" si="76"/>
        <v>0</v>
      </c>
      <c r="FR27" s="673"/>
      <c r="FS27" s="767">
        <f t="shared" si="77"/>
        <v>3.9677135483915569</v>
      </c>
      <c r="FT27" s="766">
        <f t="shared" si="78"/>
        <v>2.7623035185372718E-2</v>
      </c>
      <c r="FU27" s="766">
        <f t="shared" si="79"/>
        <v>1.8475377269028261E-3</v>
      </c>
      <c r="FV27" s="766">
        <f t="shared" si="80"/>
        <v>5.3364524843478645</v>
      </c>
      <c r="FW27" s="766">
        <f t="shared" si="81"/>
        <v>2.620733303258632</v>
      </c>
      <c r="FX27" s="766">
        <f t="shared" si="82"/>
        <v>5.521555406846125</v>
      </c>
      <c r="FY27" s="766">
        <f t="shared" si="83"/>
        <v>10.857527919397382</v>
      </c>
      <c r="FZ27" s="766">
        <f t="shared" si="84"/>
        <v>2.5716068357870152</v>
      </c>
      <c r="GA27" s="766">
        <f t="shared" si="85"/>
        <v>3.655352815464652</v>
      </c>
      <c r="GB27" s="766">
        <f t="shared" si="86"/>
        <v>34.5287939817159</v>
      </c>
      <c r="GC27" s="766">
        <f t="shared" si="87"/>
        <v>5.5973428734475359</v>
      </c>
      <c r="GD27" s="766">
        <f t="shared" si="88"/>
        <v>41.096135612248894</v>
      </c>
      <c r="GE27" s="766">
        <f t="shared" si="89"/>
        <v>18.680061641931314</v>
      </c>
      <c r="GF27" s="766">
        <f t="shared" si="90"/>
        <v>6.4408847670357714</v>
      </c>
      <c r="GG27" s="766">
        <f t="shared" si="91"/>
        <v>3.9677135483915569</v>
      </c>
    </row>
    <row r="28" spans="1:189" s="50" customFormat="1" ht="15.75" customHeight="1" thickBot="1">
      <c r="A28" s="312"/>
      <c r="B28" s="292">
        <v>8</v>
      </c>
      <c r="C28" s="675"/>
      <c r="D28" s="675"/>
      <c r="E28" s="675"/>
      <c r="F28" s="675"/>
      <c r="G28" s="675"/>
      <c r="H28" s="298"/>
      <c r="I28" s="675"/>
      <c r="J28" s="675"/>
      <c r="K28" s="668"/>
      <c r="L28" s="304" t="str">
        <f t="shared" si="10"/>
        <v/>
      </c>
      <c r="M28" s="413" t="str">
        <f t="shared" si="11"/>
        <v/>
      </c>
      <c r="N28" s="296" t="str">
        <f t="shared" si="12"/>
        <v/>
      </c>
      <c r="O28" s="1073" t="s">
        <v>926</v>
      </c>
      <c r="P28" s="1074"/>
      <c r="Q28" s="1075"/>
      <c r="R28" s="783">
        <f>IF(ISNUMBER(AW89),AW89,"")</f>
        <v>0</v>
      </c>
      <c r="S28" s="822"/>
      <c r="T28" s="823"/>
      <c r="U28" s="758" t="s">
        <v>917</v>
      </c>
      <c r="V28" s="759"/>
      <c r="W28" s="809">
        <f t="shared" si="5"/>
        <v>2.888300413535374</v>
      </c>
      <c r="X28" s="846">
        <f t="shared" si="104"/>
        <v>2.2894140657605164</v>
      </c>
      <c r="Y28" s="828"/>
      <c r="Z28" s="847">
        <f t="shared" si="105"/>
        <v>2.3902646000196421</v>
      </c>
      <c r="AA28" s="694"/>
      <c r="AB28" s="191"/>
      <c r="AC28" s="191"/>
      <c r="AD28" s="191"/>
      <c r="AE28" s="191"/>
      <c r="AF28" s="191"/>
      <c r="AG28" s="191"/>
      <c r="AH28" s="191"/>
      <c r="AI28" s="191"/>
      <c r="AJ28" s="191"/>
      <c r="AK28" s="192"/>
      <c r="AL28" s="191"/>
      <c r="AM28" s="191"/>
      <c r="AN28" s="160" t="str">
        <f t="shared" si="13"/>
        <v/>
      </c>
      <c r="AO28" s="160" t="str">
        <f t="shared" si="14"/>
        <v/>
      </c>
      <c r="AP28" s="160" t="str">
        <f t="shared" si="15"/>
        <v/>
      </c>
      <c r="AQ28" s="31">
        <f>AVERAGE(D21:D28)</f>
        <v>31.666666666666668</v>
      </c>
      <c r="AR28" s="31">
        <f>AVERAGE(E21:E28)</f>
        <v>27.533333333333331</v>
      </c>
      <c r="AS28" s="46">
        <f>AVERAGE(AT21:AT28)</f>
        <v>3.2166666666666668</v>
      </c>
      <c r="AT28" s="46" t="str">
        <f t="shared" si="8"/>
        <v/>
      </c>
      <c r="AU28" s="59">
        <f t="shared" si="16"/>
        <v>0</v>
      </c>
      <c r="AV28" s="59" t="str">
        <f t="shared" si="92"/>
        <v/>
      </c>
      <c r="AW28" s="730" t="str">
        <f t="shared" si="17"/>
        <v>No Data</v>
      </c>
      <c r="AX28" s="737">
        <f t="shared" si="93"/>
        <v>0</v>
      </c>
      <c r="AY28" s="737" t="str">
        <f t="shared" si="18"/>
        <v/>
      </c>
      <c r="BA28" s="700" t="s">
        <v>504</v>
      </c>
      <c r="BC28" s="5">
        <v>65</v>
      </c>
      <c r="BD28" s="5" t="s">
        <v>1564</v>
      </c>
      <c r="BE28" s="5" t="s">
        <v>442</v>
      </c>
      <c r="BF28" s="699" t="s">
        <v>1563</v>
      </c>
      <c r="BG28" s="699" t="s">
        <v>1563</v>
      </c>
      <c r="BH28" s="699" t="s">
        <v>1563</v>
      </c>
      <c r="BI28" s="5"/>
      <c r="BU28" s="50" t="e">
        <f>VLOOKUP(TRUE,BY22:CW121,16,FALSE)</f>
        <v>#N/A</v>
      </c>
      <c r="BV28" s="1056" t="s">
        <v>613</v>
      </c>
      <c r="BW28" s="1057"/>
      <c r="BX28" s="1058"/>
      <c r="BY28" s="753" t="b">
        <f t="shared" si="94"/>
        <v>0</v>
      </c>
      <c r="BZ28" s="753">
        <f t="shared" si="19"/>
        <v>6.8834643042376022</v>
      </c>
      <c r="CA28" s="751">
        <v>7</v>
      </c>
      <c r="CB28" s="752">
        <f t="shared" si="102"/>
        <v>10.5</v>
      </c>
      <c r="CC28" s="673">
        <f t="shared" si="20"/>
        <v>3.6165356957623978</v>
      </c>
      <c r="CD28" s="91">
        <f t="shared" si="9"/>
        <v>2</v>
      </c>
      <c r="CE28" s="752" t="b">
        <f t="shared" si="21"/>
        <v>0</v>
      </c>
      <c r="CF28" s="673"/>
      <c r="CG28" s="752">
        <f t="shared" si="22"/>
        <v>3.6165356957623978</v>
      </c>
      <c r="CH28" s="752">
        <f t="shared" si="23"/>
        <v>0.11999462264096579</v>
      </c>
      <c r="CI28" s="752">
        <f t="shared" si="24"/>
        <v>8.0257144396661644E-3</v>
      </c>
      <c r="CJ28" s="755">
        <f t="shared" si="25"/>
        <v>4.6340768993951622</v>
      </c>
      <c r="CK28" s="755">
        <f t="shared" si="26"/>
        <v>2.4413450735635149</v>
      </c>
      <c r="CL28" s="755">
        <f t="shared" si="27"/>
        <v>3.3981265589726251</v>
      </c>
      <c r="CM28" s="755">
        <f t="shared" si="28"/>
        <v>6.6820399813329674</v>
      </c>
      <c r="CN28" s="755">
        <f t="shared" si="29"/>
        <v>2.114874643203621</v>
      </c>
      <c r="CO28" s="755">
        <f t="shared" si="30"/>
        <v>3.0232145480032706</v>
      </c>
      <c r="CP28" s="755">
        <f t="shared" si="31"/>
        <v>149.99327830120723</v>
      </c>
      <c r="CQ28" s="755">
        <f t="shared" si="32"/>
        <v>24.314889416898577</v>
      </c>
      <c r="CR28" s="755">
        <f t="shared" si="95"/>
        <v>9.4604239341342478</v>
      </c>
      <c r="CS28" s="755">
        <f t="shared" si="33"/>
        <v>4.300192697333749</v>
      </c>
      <c r="CT28" s="755">
        <f t="shared" si="34"/>
        <v>3.6165356957623978</v>
      </c>
      <c r="CU28" s="755">
        <f t="shared" si="35"/>
        <v>3.1000629588904496</v>
      </c>
      <c r="CZ28" s="50">
        <f>VLOOKUP(TRUE,DD22:EB121,16,FALSE)</f>
        <v>1.6938237937032092</v>
      </c>
      <c r="DA28" s="1056" t="s">
        <v>613</v>
      </c>
      <c r="DB28" s="1057"/>
      <c r="DC28" s="1058"/>
      <c r="DD28" s="755" t="b">
        <f t="shared" si="96"/>
        <v>0</v>
      </c>
      <c r="DE28" s="755">
        <f t="shared" si="36"/>
        <v>40.877767996501625</v>
      </c>
      <c r="DF28" s="755">
        <v>7</v>
      </c>
      <c r="DG28" s="755">
        <f t="shared" si="97"/>
        <v>46.5</v>
      </c>
      <c r="DH28" s="673">
        <f t="shared" si="37"/>
        <v>5.6222320034983753</v>
      </c>
      <c r="DI28" s="673">
        <f t="shared" si="38"/>
        <v>2</v>
      </c>
      <c r="DJ28" s="766" t="b">
        <f t="shared" si="39"/>
        <v>0</v>
      </c>
      <c r="DK28" s="673"/>
      <c r="DL28" s="766">
        <f t="shared" si="40"/>
        <v>5.6222320034983753</v>
      </c>
      <c r="DM28" s="766">
        <f t="shared" si="41"/>
        <v>2.791408544614131E-2</v>
      </c>
      <c r="DN28" s="766">
        <f t="shared" si="42"/>
        <v>1.8670043182309082E-3</v>
      </c>
      <c r="DO28" s="766">
        <f t="shared" si="43"/>
        <v>5.333792031540459</v>
      </c>
      <c r="DP28" s="766">
        <f t="shared" si="44"/>
        <v>2.6201044771617035</v>
      </c>
      <c r="DQ28" s="766">
        <f t="shared" si="45"/>
        <v>4.8929879337086879</v>
      </c>
      <c r="DR28" s="766">
        <f t="shared" si="46"/>
        <v>9.6215195148900339</v>
      </c>
      <c r="DS28" s="766">
        <f t="shared" si="47"/>
        <v>2.5680563556340421</v>
      </c>
      <c r="DT28" s="766">
        <f t="shared" si="48"/>
        <v>3.6504305549082772</v>
      </c>
      <c r="DU28" s="766">
        <f t="shared" si="49"/>
        <v>34.892606807676636</v>
      </c>
      <c r="DV28" s="766">
        <f t="shared" si="50"/>
        <v>5.6563193071375881</v>
      </c>
      <c r="DW28" s="766">
        <f t="shared" si="51"/>
        <v>40.667640793401809</v>
      </c>
      <c r="DX28" s="766">
        <f t="shared" si="52"/>
        <v>18.485291269728094</v>
      </c>
      <c r="DY28" s="766">
        <f t="shared" si="53"/>
        <v>5.6222320034983753</v>
      </c>
      <c r="DZ28" s="766">
        <f t="shared" si="54"/>
        <v>3.9610174559751963</v>
      </c>
      <c r="EB28" s="50" t="e">
        <f>VLOOKUP(TRUE,EF22:FD121,16,FALSE)</f>
        <v>#N/A</v>
      </c>
      <c r="EC28" s="1056" t="s">
        <v>613</v>
      </c>
      <c r="ED28" s="1057"/>
      <c r="EE28" s="1058"/>
      <c r="EF28" s="755" t="b">
        <f t="shared" si="98"/>
        <v>0</v>
      </c>
      <c r="EG28" s="755">
        <f t="shared" si="55"/>
        <v>6.8834643042376022</v>
      </c>
      <c r="EH28" s="755">
        <v>7</v>
      </c>
      <c r="EI28" s="755">
        <f t="shared" si="103"/>
        <v>10.5</v>
      </c>
      <c r="EJ28" s="673">
        <f t="shared" si="56"/>
        <v>3.6165356957623978</v>
      </c>
      <c r="EK28" s="673">
        <f t="shared" si="57"/>
        <v>2.2510196371999172</v>
      </c>
      <c r="EL28" s="755" t="b">
        <f t="shared" si="58"/>
        <v>0</v>
      </c>
      <c r="EM28" s="673"/>
      <c r="EN28" s="755">
        <f t="shared" si="59"/>
        <v>3.6165356957623978</v>
      </c>
      <c r="EO28" s="755">
        <f t="shared" si="60"/>
        <v>0.11999462264096579</v>
      </c>
      <c r="EP28" s="755">
        <f t="shared" si="61"/>
        <v>8.0257144396661644E-3</v>
      </c>
      <c r="EQ28" s="755">
        <f t="shared" si="62"/>
        <v>4.6340768993951622</v>
      </c>
      <c r="ER28" s="755">
        <f t="shared" si="63"/>
        <v>2.4413450735635149</v>
      </c>
      <c r="ES28" s="755">
        <f t="shared" si="64"/>
        <v>3.3981265589726251</v>
      </c>
      <c r="ET28" s="755">
        <f t="shared" si="65"/>
        <v>6.6820399813329674</v>
      </c>
      <c r="EU28" s="755">
        <f t="shared" si="66"/>
        <v>2.114874643203621</v>
      </c>
      <c r="EV28" s="755">
        <f t="shared" si="67"/>
        <v>3.0232145480032706</v>
      </c>
      <c r="EW28" s="755">
        <f t="shared" si="68"/>
        <v>149.99327830120723</v>
      </c>
      <c r="EX28" s="755">
        <f t="shared" si="69"/>
        <v>24.314889416898577</v>
      </c>
      <c r="EY28" s="755">
        <f t="shared" si="99"/>
        <v>9.4604239341342478</v>
      </c>
      <c r="EZ28" s="755">
        <f t="shared" si="70"/>
        <v>4.300192697333749</v>
      </c>
      <c r="FA28" s="755">
        <f t="shared" si="71"/>
        <v>3.6165356957623978</v>
      </c>
      <c r="FB28" s="755">
        <f t="shared" si="72"/>
        <v>3.1000629588904496</v>
      </c>
      <c r="FG28" s="50">
        <f>VLOOKUP(TRUE,FK22:GI121,16,FALSE)</f>
        <v>1.7459240797561748</v>
      </c>
      <c r="FH28" s="1056" t="s">
        <v>613</v>
      </c>
      <c r="FI28" s="1057"/>
      <c r="FJ28" s="1058"/>
      <c r="FK28" s="755" t="b">
        <f t="shared" si="100"/>
        <v>0</v>
      </c>
      <c r="FL28" s="755">
        <f t="shared" si="73"/>
        <v>42.538982544024805</v>
      </c>
      <c r="FM28" s="755">
        <v>7</v>
      </c>
      <c r="FN28" s="767">
        <f t="shared" si="101"/>
        <v>46.5</v>
      </c>
      <c r="FO28" s="673">
        <f t="shared" si="74"/>
        <v>3.9610174559751963</v>
      </c>
      <c r="FP28" s="673">
        <f t="shared" si="75"/>
        <v>2.2510196371999172</v>
      </c>
      <c r="FQ28" s="766" t="b">
        <f t="shared" si="76"/>
        <v>0</v>
      </c>
      <c r="FR28" s="673"/>
      <c r="FS28" s="767">
        <f t="shared" si="77"/>
        <v>3.9610174559751963</v>
      </c>
      <c r="FT28" s="766">
        <f t="shared" si="78"/>
        <v>2.791408544614131E-2</v>
      </c>
      <c r="FU28" s="766">
        <f t="shared" si="79"/>
        <v>1.8670043182309082E-3</v>
      </c>
      <c r="FV28" s="766">
        <f t="shared" si="80"/>
        <v>5.333792031540459</v>
      </c>
      <c r="FW28" s="766">
        <f t="shared" si="81"/>
        <v>2.6201044771617035</v>
      </c>
      <c r="FX28" s="766">
        <f t="shared" si="82"/>
        <v>5.5071059616802511</v>
      </c>
      <c r="FY28" s="766">
        <f t="shared" si="83"/>
        <v>10.829114683859844</v>
      </c>
      <c r="FZ28" s="766">
        <f t="shared" si="84"/>
        <v>2.5680563556340421</v>
      </c>
      <c r="GA28" s="766">
        <f t="shared" si="85"/>
        <v>3.6504305549082772</v>
      </c>
      <c r="GB28" s="766">
        <f t="shared" si="86"/>
        <v>34.892606807676636</v>
      </c>
      <c r="GC28" s="766">
        <f t="shared" si="87"/>
        <v>5.6563193071375881</v>
      </c>
      <c r="GD28" s="766">
        <f t="shared" si="88"/>
        <v>40.667640793401809</v>
      </c>
      <c r="GE28" s="766">
        <f t="shared" si="89"/>
        <v>18.485291269728094</v>
      </c>
      <c r="GF28" s="766">
        <f t="shared" si="90"/>
        <v>6.4222251807017505</v>
      </c>
      <c r="GG28" s="766">
        <f t="shared" si="91"/>
        <v>3.9610174559751963</v>
      </c>
    </row>
    <row r="29" spans="1:189" s="5" customFormat="1" ht="16" thickTop="1">
      <c r="A29" s="162"/>
      <c r="B29" s="292">
        <v>9</v>
      </c>
      <c r="C29" s="675"/>
      <c r="D29" s="675"/>
      <c r="E29" s="675"/>
      <c r="F29" s="675"/>
      <c r="G29" s="675"/>
      <c r="H29" s="298"/>
      <c r="I29" s="675"/>
      <c r="J29" s="675"/>
      <c r="K29" s="668"/>
      <c r="L29" s="304" t="str">
        <f t="shared" si="10"/>
        <v/>
      </c>
      <c r="M29" s="413" t="str">
        <f t="shared" si="11"/>
        <v/>
      </c>
      <c r="N29" s="291" t="str">
        <f t="shared" si="12"/>
        <v/>
      </c>
      <c r="O29" s="1108"/>
      <c r="P29" s="1076"/>
      <c r="Q29" s="1076"/>
      <c r="R29" s="785" t="s">
        <v>929</v>
      </c>
      <c r="S29" s="1076" t="s">
        <v>1052</v>
      </c>
      <c r="T29" s="1076"/>
      <c r="U29" s="785" t="s">
        <v>1422</v>
      </c>
      <c r="V29" s="786" t="s">
        <v>1423</v>
      </c>
      <c r="W29" s="1081" t="s">
        <v>1663</v>
      </c>
      <c r="X29" s="1082"/>
      <c r="Y29" s="1082"/>
      <c r="Z29" s="1082"/>
      <c r="AA29" s="161"/>
      <c r="AB29" s="161"/>
      <c r="AC29" s="161"/>
      <c r="AD29" s="161"/>
      <c r="AE29" s="161"/>
      <c r="AF29" s="161"/>
      <c r="AG29" s="161"/>
      <c r="AH29" s="161"/>
      <c r="AI29" s="161"/>
      <c r="AJ29" s="161"/>
      <c r="AK29" s="168"/>
      <c r="AL29" s="161"/>
      <c r="AM29" s="161"/>
      <c r="AN29" s="160" t="str">
        <f t="shared" si="13"/>
        <v/>
      </c>
      <c r="AO29" s="160" t="str">
        <f t="shared" si="14"/>
        <v/>
      </c>
      <c r="AP29" s="160" t="str">
        <f t="shared" si="15"/>
        <v/>
      </c>
      <c r="AQ29" s="5">
        <f>AVERAGE(D21:D29)</f>
        <v>31.666666666666668</v>
      </c>
      <c r="AR29" s="31">
        <f>AVERAGE(E21:E29)</f>
        <v>27.533333333333331</v>
      </c>
      <c r="AS29" s="46">
        <f>AVERAGE(AT21:AT29)</f>
        <v>3.2166666666666668</v>
      </c>
      <c r="AT29" s="46" t="str">
        <f t="shared" si="8"/>
        <v/>
      </c>
      <c r="AU29" s="59">
        <f t="shared" si="16"/>
        <v>0</v>
      </c>
      <c r="AV29" s="59" t="str">
        <f t="shared" si="92"/>
        <v/>
      </c>
      <c r="AW29" s="730" t="str">
        <f t="shared" si="17"/>
        <v>No Data</v>
      </c>
      <c r="AX29" s="737">
        <f t="shared" si="93"/>
        <v>0</v>
      </c>
      <c r="AY29" s="737" t="str">
        <f t="shared" si="18"/>
        <v/>
      </c>
      <c r="BA29" s="699" t="s">
        <v>8</v>
      </c>
      <c r="BB29" s="699" t="s">
        <v>11</v>
      </c>
      <c r="BC29" s="5">
        <v>75</v>
      </c>
      <c r="BD29" s="699" t="s">
        <v>1564</v>
      </c>
      <c r="BE29" s="699" t="s">
        <v>1564</v>
      </c>
      <c r="BF29" s="5" t="s">
        <v>440</v>
      </c>
      <c r="BG29" s="699" t="s">
        <v>1563</v>
      </c>
      <c r="BH29" s="5" t="s">
        <v>440</v>
      </c>
      <c r="BU29" s="5" t="e">
        <f>VLOOKUP(TRUE,BY22:CW121,10,FALSE)</f>
        <v>#N/A</v>
      </c>
      <c r="BV29" s="756" t="s">
        <v>536</v>
      </c>
      <c r="BY29" s="753" t="b">
        <f t="shared" si="94"/>
        <v>0</v>
      </c>
      <c r="BZ29" s="753">
        <f t="shared" si="19"/>
        <v>7.3301210618778576</v>
      </c>
      <c r="CA29" s="32">
        <v>8</v>
      </c>
      <c r="CB29" s="752">
        <f t="shared" si="102"/>
        <v>11</v>
      </c>
      <c r="CC29" s="673">
        <f t="shared" si="20"/>
        <v>3.6698789381221424</v>
      </c>
      <c r="CD29" s="91">
        <f t="shared" si="9"/>
        <v>2</v>
      </c>
      <c r="CE29" s="752" t="b">
        <f t="shared" si="21"/>
        <v>0</v>
      </c>
      <c r="CF29" s="673"/>
      <c r="CG29" s="752">
        <f t="shared" si="22"/>
        <v>3.6698789381221424</v>
      </c>
      <c r="CH29" s="752">
        <f t="shared" si="23"/>
        <v>0.11464693955386734</v>
      </c>
      <c r="CI29" s="752">
        <f t="shared" si="24"/>
        <v>7.6680402670550986E-3</v>
      </c>
      <c r="CJ29" s="755">
        <f t="shared" si="25"/>
        <v>4.6682932861202202</v>
      </c>
      <c r="CK29" s="755">
        <f t="shared" si="26"/>
        <v>2.4507424263530981</v>
      </c>
      <c r="CL29" s="755">
        <f t="shared" si="27"/>
        <v>3.437077930236248</v>
      </c>
      <c r="CM29" s="755">
        <f t="shared" si="28"/>
        <v>6.7586335441665906</v>
      </c>
      <c r="CN29" s="755">
        <f t="shared" si="29"/>
        <v>2.1278867484411794</v>
      </c>
      <c r="CO29" s="755">
        <f t="shared" si="30"/>
        <v>3.0411912170218245</v>
      </c>
      <c r="CP29" s="755">
        <f t="shared" si="31"/>
        <v>143.30867444233419</v>
      </c>
      <c r="CQ29" s="755">
        <f t="shared" si="32"/>
        <v>23.231271501048525</v>
      </c>
      <c r="CR29" s="755">
        <f t="shared" si="95"/>
        <v>9.9017034769307681</v>
      </c>
      <c r="CS29" s="755">
        <f t="shared" si="33"/>
        <v>4.5007743076958029</v>
      </c>
      <c r="CT29" s="755">
        <f t="shared" si="34"/>
        <v>3.6698789381221424</v>
      </c>
      <c r="CU29" s="755">
        <f t="shared" si="35"/>
        <v>3.1249536331301613</v>
      </c>
      <c r="CX29" s="755"/>
      <c r="CY29" s="755"/>
      <c r="CZ29" s="755">
        <f>VLOOKUP(TRUE,DD22:EB121,10,FALSE)</f>
        <v>0.6094216822115891</v>
      </c>
      <c r="DA29" s="756" t="s">
        <v>536</v>
      </c>
      <c r="DB29" s="755"/>
      <c r="DC29" s="755"/>
      <c r="DD29" s="755" t="b">
        <f t="shared" si="96"/>
        <v>0</v>
      </c>
      <c r="DE29" s="755">
        <f t="shared" si="36"/>
        <v>40.394775375144697</v>
      </c>
      <c r="DF29" s="32">
        <v>8</v>
      </c>
      <c r="DG29" s="755">
        <f t="shared" si="97"/>
        <v>46</v>
      </c>
      <c r="DH29" s="673">
        <f t="shared" si="37"/>
        <v>5.6052246248553059</v>
      </c>
      <c r="DI29" s="673">
        <f t="shared" si="38"/>
        <v>2</v>
      </c>
      <c r="DJ29" s="766" t="b">
        <f t="shared" si="39"/>
        <v>0</v>
      </c>
      <c r="DK29" s="673"/>
      <c r="DL29" s="766">
        <f t="shared" si="40"/>
        <v>5.6052246248553059</v>
      </c>
      <c r="DM29" s="766">
        <f t="shared" si="41"/>
        <v>2.8211398937545949E-2</v>
      </c>
      <c r="DN29" s="766">
        <f t="shared" si="42"/>
        <v>1.8868898191688405E-3</v>
      </c>
      <c r="DO29" s="766">
        <f t="shared" si="43"/>
        <v>5.3310778850863016</v>
      </c>
      <c r="DP29" s="766">
        <f t="shared" si="44"/>
        <v>2.619462586231124</v>
      </c>
      <c r="DQ29" s="766">
        <f t="shared" si="45"/>
        <v>4.8800451497835402</v>
      </c>
      <c r="DR29" s="766">
        <f t="shared" si="46"/>
        <v>9.5960689620172364</v>
      </c>
      <c r="DS29" s="766">
        <f t="shared" si="47"/>
        <v>2.5644720111401966</v>
      </c>
      <c r="DT29" s="766">
        <f t="shared" si="48"/>
        <v>3.6454614633468454</v>
      </c>
      <c r="DU29" s="766">
        <f t="shared" si="49"/>
        <v>35.264248671932435</v>
      </c>
      <c r="DV29" s="766">
        <f t="shared" si="50"/>
        <v>5.7165648790353059</v>
      </c>
      <c r="DW29" s="766">
        <f t="shared" si="51"/>
        <v>40.239053813428107</v>
      </c>
      <c r="DX29" s="766">
        <f t="shared" si="52"/>
        <v>18.290479006103684</v>
      </c>
      <c r="DY29" s="766">
        <f t="shared" si="53"/>
        <v>5.6052246248553059</v>
      </c>
      <c r="DZ29" s="766">
        <f t="shared" si="54"/>
        <v>3.9542567088555507</v>
      </c>
      <c r="EB29" s="755" t="e">
        <f>VLOOKUP(TRUE,EF22:FD121,10,FALSE)</f>
        <v>#N/A</v>
      </c>
      <c r="EC29" s="756" t="s">
        <v>536</v>
      </c>
      <c r="ED29" s="755"/>
      <c r="EE29" s="755"/>
      <c r="EF29" s="755" t="b">
        <f t="shared" si="98"/>
        <v>0</v>
      </c>
      <c r="EG29" s="755">
        <f t="shared" si="55"/>
        <v>7.3301210618778576</v>
      </c>
      <c r="EH29" s="32">
        <v>8</v>
      </c>
      <c r="EI29" s="755">
        <f t="shared" si="103"/>
        <v>11</v>
      </c>
      <c r="EJ29" s="673">
        <f t="shared" si="56"/>
        <v>3.6698789381221424</v>
      </c>
      <c r="EK29" s="673">
        <f t="shared" si="57"/>
        <v>2.2510196371999172</v>
      </c>
      <c r="EL29" s="755" t="b">
        <f t="shared" si="58"/>
        <v>0</v>
      </c>
      <c r="EM29" s="673"/>
      <c r="EN29" s="755">
        <f t="shared" si="59"/>
        <v>3.6698789381221424</v>
      </c>
      <c r="EO29" s="755">
        <f t="shared" si="60"/>
        <v>0.11464693955386734</v>
      </c>
      <c r="EP29" s="755">
        <f t="shared" si="61"/>
        <v>7.6680402670550986E-3</v>
      </c>
      <c r="EQ29" s="755">
        <f t="shared" si="62"/>
        <v>4.6682932861202202</v>
      </c>
      <c r="ER29" s="755">
        <f t="shared" si="63"/>
        <v>2.4507424263530981</v>
      </c>
      <c r="ES29" s="755">
        <f t="shared" si="64"/>
        <v>3.437077930236248</v>
      </c>
      <c r="ET29" s="755">
        <f t="shared" si="65"/>
        <v>6.7586335441665906</v>
      </c>
      <c r="EU29" s="755">
        <f t="shared" si="66"/>
        <v>2.1278867484411794</v>
      </c>
      <c r="EV29" s="755">
        <f t="shared" si="67"/>
        <v>3.0411912170218245</v>
      </c>
      <c r="EW29" s="755">
        <f t="shared" si="68"/>
        <v>143.30867444233419</v>
      </c>
      <c r="EX29" s="755">
        <f t="shared" si="69"/>
        <v>23.231271501048525</v>
      </c>
      <c r="EY29" s="755">
        <f t="shared" si="99"/>
        <v>9.9017034769307681</v>
      </c>
      <c r="EZ29" s="755">
        <f t="shared" si="70"/>
        <v>4.5007743076958029</v>
      </c>
      <c r="FA29" s="755">
        <f t="shared" si="71"/>
        <v>3.6698789381221424</v>
      </c>
      <c r="FB29" s="755">
        <f t="shared" si="72"/>
        <v>3.1249536331301613</v>
      </c>
      <c r="FC29" s="755"/>
      <c r="FD29" s="755"/>
      <c r="FE29" s="755"/>
      <c r="FF29" s="755"/>
      <c r="FG29" s="755">
        <f>VLOOKUP(TRUE,FK22:GI121,10,FALSE)</f>
        <v>0.48971802448845358</v>
      </c>
      <c r="FH29" s="756" t="s">
        <v>536</v>
      </c>
      <c r="FI29" s="755"/>
      <c r="FJ29" s="755"/>
      <c r="FK29" s="755" t="b">
        <f t="shared" si="100"/>
        <v>0</v>
      </c>
      <c r="FL29" s="755">
        <f t="shared" si="73"/>
        <v>42.045743291144447</v>
      </c>
      <c r="FM29" s="32">
        <v>8</v>
      </c>
      <c r="FN29" s="767">
        <f t="shared" si="101"/>
        <v>46</v>
      </c>
      <c r="FO29" s="673">
        <f t="shared" si="74"/>
        <v>3.9542567088555507</v>
      </c>
      <c r="FP29" s="673">
        <f t="shared" si="75"/>
        <v>2.2510196371999172</v>
      </c>
      <c r="FQ29" s="766" t="b">
        <f t="shared" si="76"/>
        <v>0</v>
      </c>
      <c r="FR29" s="673"/>
      <c r="FS29" s="767">
        <f t="shared" si="77"/>
        <v>3.9542567088555507</v>
      </c>
      <c r="FT29" s="766">
        <f t="shared" si="78"/>
        <v>2.8211398937545949E-2</v>
      </c>
      <c r="FU29" s="766">
        <f t="shared" si="79"/>
        <v>1.8868898191688405E-3</v>
      </c>
      <c r="FV29" s="766">
        <f t="shared" si="80"/>
        <v>5.3310778850863016</v>
      </c>
      <c r="FW29" s="766">
        <f t="shared" si="81"/>
        <v>2.619462586231124</v>
      </c>
      <c r="FX29" s="766">
        <f t="shared" si="82"/>
        <v>5.4925387312924796</v>
      </c>
      <c r="FY29" s="766">
        <f t="shared" si="83"/>
        <v>10.800469836712713</v>
      </c>
      <c r="FZ29" s="766">
        <f t="shared" si="84"/>
        <v>2.5644720111401966</v>
      </c>
      <c r="GA29" s="766">
        <f t="shared" si="85"/>
        <v>3.6454614633468454</v>
      </c>
      <c r="GB29" s="766">
        <f t="shared" si="86"/>
        <v>35.264248671932435</v>
      </c>
      <c r="GC29" s="766">
        <f t="shared" si="87"/>
        <v>5.7165648790353059</v>
      </c>
      <c r="GD29" s="766">
        <f t="shared" si="88"/>
        <v>40.239053813428107</v>
      </c>
      <c r="GE29" s="766">
        <f t="shared" si="89"/>
        <v>18.290479006103684</v>
      </c>
      <c r="GF29" s="766">
        <f t="shared" si="90"/>
        <v>6.4034059542456285</v>
      </c>
      <c r="GG29" s="766">
        <f t="shared" si="91"/>
        <v>3.9542567088555507</v>
      </c>
    </row>
    <row r="30" spans="1:189" s="5" customFormat="1" ht="15.5">
      <c r="A30" s="162"/>
      <c r="B30" s="292">
        <v>10</v>
      </c>
      <c r="C30" s="675"/>
      <c r="D30" s="675"/>
      <c r="E30" s="675"/>
      <c r="F30" s="675"/>
      <c r="G30" s="675"/>
      <c r="H30" s="298"/>
      <c r="I30" s="675"/>
      <c r="J30" s="675"/>
      <c r="K30" s="668"/>
      <c r="L30" s="304" t="str">
        <f t="shared" si="10"/>
        <v/>
      </c>
      <c r="M30" s="413" t="str">
        <f t="shared" si="11"/>
        <v/>
      </c>
      <c r="N30" s="291" t="str">
        <f t="shared" si="12"/>
        <v/>
      </c>
      <c r="O30" s="1102" t="s">
        <v>871</v>
      </c>
      <c r="P30" s="1103"/>
      <c r="Q30" s="1103"/>
      <c r="R30" s="413">
        <f>IF(ISNUMBER(C21),VLOOKUP(AN33,B21:AR32,42,FALSE),"")</f>
        <v>33.200000000000003</v>
      </c>
      <c r="S30" s="1077">
        <f>IF(ISNUMBER(C21),VLOOKUP(AN33,B21:AR32,43,FALSE),"")</f>
        <v>26.74</v>
      </c>
      <c r="T30" s="1077"/>
      <c r="U30" s="298">
        <f>IF(ISNUMBER(S30),S30/R30,"")</f>
        <v>0.80542168674698789</v>
      </c>
      <c r="V30" s="297">
        <f>IF(ISNUMBER(C21),VLOOKUP(AN33,B$21:AT$32,45,FALSE),"")</f>
        <v>7</v>
      </c>
      <c r="W30" s="1083"/>
      <c r="X30" s="1084"/>
      <c r="Y30" s="1084"/>
      <c r="Z30" s="1084"/>
      <c r="AA30" s="161"/>
      <c r="AB30" s="161"/>
      <c r="AC30" s="161"/>
      <c r="AD30" s="161"/>
      <c r="AE30" s="161"/>
      <c r="AF30" s="161"/>
      <c r="AG30" s="161"/>
      <c r="AH30" s="161"/>
      <c r="AI30" s="161"/>
      <c r="AJ30" s="161"/>
      <c r="AK30" s="168"/>
      <c r="AL30" s="161"/>
      <c r="AM30" s="161"/>
      <c r="AN30" s="160" t="str">
        <f t="shared" si="13"/>
        <v/>
      </c>
      <c r="AO30" s="160" t="str">
        <f t="shared" si="14"/>
        <v/>
      </c>
      <c r="AP30" s="160" t="str">
        <f t="shared" si="15"/>
        <v/>
      </c>
      <c r="AQ30" s="5">
        <f>AVERAGE(D21:D30)</f>
        <v>31.666666666666668</v>
      </c>
      <c r="AR30" s="31">
        <f>AVERAGE(E21:E30)</f>
        <v>27.533333333333331</v>
      </c>
      <c r="AS30" s="46">
        <f>AVERAGE(AT21:AT30)</f>
        <v>3.2166666666666668</v>
      </c>
      <c r="AT30" s="617" t="str">
        <f t="shared" si="8"/>
        <v/>
      </c>
      <c r="AU30" s="59">
        <f t="shared" si="16"/>
        <v>0</v>
      </c>
      <c r="AV30" s="59" t="str">
        <f t="shared" si="92"/>
        <v/>
      </c>
      <c r="AW30" s="730" t="str">
        <f t="shared" si="17"/>
        <v>No Data</v>
      </c>
      <c r="AX30" s="737">
        <f t="shared" si="93"/>
        <v>0</v>
      </c>
      <c r="AY30" s="737" t="str">
        <f t="shared" si="18"/>
        <v/>
      </c>
      <c r="BA30" s="699">
        <f>IF(R70&lt;15,0,IF(AND(R70&gt;=15,R70&lt;25),15,IF(AND(R70&gt;=25,R70&lt;35),25,IF(AND(R70&gt;=35,R70&lt;45),35,IF(AND(R70&gt;=45,R70&lt;55),55,IF(AND(R70&lt;=55,R70&lt;65),55,IF(AND(R70&gt;=65,R70&lt;75),65,IF(R70&gt;=75,75,""))))))))</f>
        <v>35</v>
      </c>
      <c r="BB30" s="699">
        <f>IF(U70&lt;0.35,0,IF(AND(U70&gt;=0.35,U70&lt;0.55),0.35,IF(AND(U70&gt;=0.55,U70&lt;0.75),0.55,IF(AND(U70&gt;=0.75,U70&lt;0.95),0.75,IF(U70&gt;0.95,0.95,"")))))</f>
        <v>0.55000000000000004</v>
      </c>
      <c r="BU30" s="5" t="e">
        <f>VLOOKUP(TRUE,BY22:CW121,18,FALSE)</f>
        <v>#N/A</v>
      </c>
      <c r="BV30" s="756" t="s">
        <v>922</v>
      </c>
      <c r="BY30" s="753" t="b">
        <f t="shared" si="94"/>
        <v>0</v>
      </c>
      <c r="BZ30" s="753">
        <f t="shared" si="19"/>
        <v>7.7786343063926937</v>
      </c>
      <c r="CA30" s="751">
        <v>9</v>
      </c>
      <c r="CB30" s="752">
        <f t="shared" si="102"/>
        <v>11.5</v>
      </c>
      <c r="CC30" s="673">
        <f t="shared" si="20"/>
        <v>3.7213656936073063</v>
      </c>
      <c r="CD30" s="91">
        <f t="shared" si="9"/>
        <v>2</v>
      </c>
      <c r="CE30" s="752" t="b">
        <f t="shared" si="21"/>
        <v>0</v>
      </c>
      <c r="CF30" s="673"/>
      <c r="CG30" s="752">
        <f t="shared" si="22"/>
        <v>3.7213656936073063</v>
      </c>
      <c r="CH30" s="752">
        <f t="shared" si="23"/>
        <v>0.10975982700010306</v>
      </c>
      <c r="CI30" s="752">
        <f t="shared" si="24"/>
        <v>7.341170871345783E-3</v>
      </c>
      <c r="CJ30" s="755">
        <f t="shared" si="25"/>
        <v>4.7001435695440197</v>
      </c>
      <c r="CK30" s="755">
        <f t="shared" si="26"/>
        <v>2.459426014594039</v>
      </c>
      <c r="CL30" s="755">
        <f t="shared" si="27"/>
        <v>3.4747146250358956</v>
      </c>
      <c r="CM30" s="755">
        <f t="shared" si="28"/>
        <v>6.8326419411618176</v>
      </c>
      <c r="CN30" s="755">
        <f t="shared" si="29"/>
        <v>2.140386018257884</v>
      </c>
      <c r="CO30" s="755">
        <f t="shared" si="30"/>
        <v>3.0584613660538098</v>
      </c>
      <c r="CP30" s="755">
        <f t="shared" si="31"/>
        <v>137.19978375012883</v>
      </c>
      <c r="CQ30" s="755">
        <f t="shared" si="32"/>
        <v>22.240980447188019</v>
      </c>
      <c r="CR30" s="755">
        <f t="shared" si="95"/>
        <v>10.342581899285738</v>
      </c>
      <c r="CS30" s="755">
        <f t="shared" si="33"/>
        <v>4.7011735905844265</v>
      </c>
      <c r="CT30" s="755">
        <f t="shared" si="34"/>
        <v>3.7213656936073063</v>
      </c>
      <c r="CU30" s="755">
        <f t="shared" si="35"/>
        <v>3.1488540124074023</v>
      </c>
      <c r="CX30" s="755"/>
      <c r="CY30" s="755"/>
      <c r="CZ30" s="755">
        <f>VLOOKUP(TRUE,DD22:EB121,18,FALSE)</f>
        <v>761.77710276448636</v>
      </c>
      <c r="DA30" s="756" t="s">
        <v>922</v>
      </c>
      <c r="DB30" s="755"/>
      <c r="DC30" s="755"/>
      <c r="DD30" s="755" t="b">
        <f t="shared" si="96"/>
        <v>0</v>
      </c>
      <c r="DE30" s="755">
        <f t="shared" si="36"/>
        <v>39.911929110039488</v>
      </c>
      <c r="DF30" s="755">
        <v>9</v>
      </c>
      <c r="DG30" s="755">
        <f t="shared" si="97"/>
        <v>45.5</v>
      </c>
      <c r="DH30" s="673">
        <f t="shared" si="37"/>
        <v>5.5880708899605107</v>
      </c>
      <c r="DI30" s="673">
        <f t="shared" si="38"/>
        <v>2</v>
      </c>
      <c r="DJ30" s="766" t="b">
        <f t="shared" si="39"/>
        <v>0</v>
      </c>
      <c r="DK30" s="673"/>
      <c r="DL30" s="766">
        <f t="shared" si="40"/>
        <v>5.5880708899605107</v>
      </c>
      <c r="DM30" s="766">
        <f t="shared" si="41"/>
        <v>2.8515180740808523E-2</v>
      </c>
      <c r="DN30" s="766">
        <f t="shared" si="42"/>
        <v>1.9072079463589829E-3</v>
      </c>
      <c r="DO30" s="766">
        <f t="shared" si="43"/>
        <v>5.3283083958955917</v>
      </c>
      <c r="DP30" s="766">
        <f t="shared" si="44"/>
        <v>2.6188072174373245</v>
      </c>
      <c r="DQ30" s="766">
        <f t="shared" si="45"/>
        <v>4.8669957106922856</v>
      </c>
      <c r="DR30" s="766">
        <f t="shared" si="46"/>
        <v>9.5704086835583624</v>
      </c>
      <c r="DS30" s="766">
        <f t="shared" si="47"/>
        <v>2.5608531055071468</v>
      </c>
      <c r="DT30" s="766">
        <f t="shared" si="48"/>
        <v>3.64044457847268</v>
      </c>
      <c r="DU30" s="766">
        <f t="shared" si="49"/>
        <v>35.643975926010654</v>
      </c>
      <c r="DV30" s="766">
        <f t="shared" si="50"/>
        <v>5.7781211453964776</v>
      </c>
      <c r="DW30" s="766">
        <f t="shared" si="51"/>
        <v>39.810373650390282</v>
      </c>
      <c r="DX30" s="766">
        <f t="shared" si="52"/>
        <v>18.095624386541036</v>
      </c>
      <c r="DY30" s="766">
        <f t="shared" si="53"/>
        <v>5.5880708899605107</v>
      </c>
      <c r="DZ30" s="766">
        <f t="shared" si="54"/>
        <v>3.9474299703647051</v>
      </c>
      <c r="EB30" s="755" t="e">
        <f>VLOOKUP(TRUE,EF22:FD121,18,FALSE)</f>
        <v>#N/A</v>
      </c>
      <c r="EC30" s="756" t="s">
        <v>922</v>
      </c>
      <c r="ED30" s="755"/>
      <c r="EE30" s="755"/>
      <c r="EF30" s="755" t="b">
        <f t="shared" si="98"/>
        <v>0</v>
      </c>
      <c r="EG30" s="755">
        <f t="shared" si="55"/>
        <v>7.7786343063926937</v>
      </c>
      <c r="EH30" s="755">
        <v>9</v>
      </c>
      <c r="EI30" s="755">
        <f t="shared" si="103"/>
        <v>11.5</v>
      </c>
      <c r="EJ30" s="673">
        <f t="shared" si="56"/>
        <v>3.7213656936073063</v>
      </c>
      <c r="EK30" s="673">
        <f t="shared" si="57"/>
        <v>2.2510196371999172</v>
      </c>
      <c r="EL30" s="755" t="b">
        <f t="shared" si="58"/>
        <v>0</v>
      </c>
      <c r="EM30" s="673"/>
      <c r="EN30" s="755">
        <f t="shared" si="59"/>
        <v>3.7213656936073063</v>
      </c>
      <c r="EO30" s="755">
        <f t="shared" si="60"/>
        <v>0.10975982700010306</v>
      </c>
      <c r="EP30" s="755">
        <f t="shared" si="61"/>
        <v>7.341170871345783E-3</v>
      </c>
      <c r="EQ30" s="755">
        <f t="shared" si="62"/>
        <v>4.7001435695440197</v>
      </c>
      <c r="ER30" s="755">
        <f t="shared" si="63"/>
        <v>2.459426014594039</v>
      </c>
      <c r="ES30" s="755">
        <f t="shared" si="64"/>
        <v>3.4747146250358956</v>
      </c>
      <c r="ET30" s="755">
        <f t="shared" si="65"/>
        <v>6.8326419411618176</v>
      </c>
      <c r="EU30" s="755">
        <f t="shared" si="66"/>
        <v>2.140386018257884</v>
      </c>
      <c r="EV30" s="755">
        <f t="shared" si="67"/>
        <v>3.0584613660538098</v>
      </c>
      <c r="EW30" s="755">
        <f t="shared" si="68"/>
        <v>137.19978375012883</v>
      </c>
      <c r="EX30" s="755">
        <f t="shared" si="69"/>
        <v>22.240980447188019</v>
      </c>
      <c r="EY30" s="755">
        <f t="shared" si="99"/>
        <v>10.342581899285738</v>
      </c>
      <c r="EZ30" s="755">
        <f t="shared" si="70"/>
        <v>4.7011735905844265</v>
      </c>
      <c r="FA30" s="755">
        <f t="shared" si="71"/>
        <v>3.7213656936073063</v>
      </c>
      <c r="FB30" s="755">
        <f t="shared" si="72"/>
        <v>3.1488540124074023</v>
      </c>
      <c r="FC30" s="755"/>
      <c r="FD30" s="755"/>
      <c r="FE30" s="755"/>
      <c r="FF30" s="755"/>
      <c r="FG30" s="755">
        <f>VLOOKUP(TRUE,FK22:GI121,18,FALSE)</f>
        <v>612.14753061056695</v>
      </c>
      <c r="FH30" s="756" t="s">
        <v>922</v>
      </c>
      <c r="FI30" s="755"/>
      <c r="FJ30" s="755"/>
      <c r="FK30" s="755" t="b">
        <f t="shared" si="100"/>
        <v>0</v>
      </c>
      <c r="FL30" s="755">
        <f t="shared" si="73"/>
        <v>41.552570029635298</v>
      </c>
      <c r="FM30" s="755">
        <v>9</v>
      </c>
      <c r="FN30" s="767">
        <f t="shared" si="101"/>
        <v>45.5</v>
      </c>
      <c r="FO30" s="673">
        <f t="shared" si="74"/>
        <v>3.9474299703647051</v>
      </c>
      <c r="FP30" s="673">
        <f t="shared" si="75"/>
        <v>2.2510196371999172</v>
      </c>
      <c r="FQ30" s="766" t="b">
        <f t="shared" si="76"/>
        <v>0</v>
      </c>
      <c r="FR30" s="673"/>
      <c r="FS30" s="767">
        <f t="shared" si="77"/>
        <v>3.9474299703647051</v>
      </c>
      <c r="FT30" s="766">
        <f t="shared" si="78"/>
        <v>2.8515180740808523E-2</v>
      </c>
      <c r="FU30" s="766">
        <f t="shared" si="79"/>
        <v>1.9072079463589829E-3</v>
      </c>
      <c r="FV30" s="766">
        <f t="shared" si="80"/>
        <v>5.3283083958955917</v>
      </c>
      <c r="FW30" s="766">
        <f t="shared" si="81"/>
        <v>2.6188072174373245</v>
      </c>
      <c r="FX30" s="766">
        <f t="shared" si="82"/>
        <v>5.4778514594680505</v>
      </c>
      <c r="FY30" s="766">
        <f t="shared" si="83"/>
        <v>10.771588941359241</v>
      </c>
      <c r="FZ30" s="766">
        <f t="shared" si="84"/>
        <v>2.5608531055071468</v>
      </c>
      <c r="GA30" s="766">
        <f t="shared" si="85"/>
        <v>3.64044457847268</v>
      </c>
      <c r="GB30" s="766">
        <f t="shared" si="86"/>
        <v>35.643975926010654</v>
      </c>
      <c r="GC30" s="766">
        <f t="shared" si="87"/>
        <v>5.7781211453964776</v>
      </c>
      <c r="GD30" s="766">
        <f t="shared" si="88"/>
        <v>39.810373650390282</v>
      </c>
      <c r="GE30" s="766">
        <f t="shared" si="89"/>
        <v>18.095624386541036</v>
      </c>
      <c r="GF30" s="766">
        <f t="shared" si="90"/>
        <v>6.38442398296477</v>
      </c>
      <c r="GG30" s="766">
        <f t="shared" si="91"/>
        <v>3.9474299703647051</v>
      </c>
    </row>
    <row r="31" spans="1:189" s="5" customFormat="1" ht="15.5">
      <c r="A31" s="162"/>
      <c r="B31" s="292">
        <v>11</v>
      </c>
      <c r="C31" s="675"/>
      <c r="D31" s="675"/>
      <c r="E31" s="675"/>
      <c r="F31" s="675"/>
      <c r="G31" s="675"/>
      <c r="H31" s="298"/>
      <c r="I31" s="675"/>
      <c r="J31" s="675"/>
      <c r="K31" s="668"/>
      <c r="L31" s="304" t="str">
        <f t="shared" si="10"/>
        <v/>
      </c>
      <c r="M31" s="413" t="str">
        <f t="shared" si="11"/>
        <v/>
      </c>
      <c r="N31" s="291" t="str">
        <f t="shared" si="12"/>
        <v/>
      </c>
      <c r="O31" s="1102" t="s">
        <v>872</v>
      </c>
      <c r="P31" s="1103"/>
      <c r="Q31" s="1103"/>
      <c r="R31" s="413">
        <f>IF(ISNUMBER(C21),VLOOKUP(AO33,B21:AR32,42,FALSE),"")</f>
        <v>35</v>
      </c>
      <c r="S31" s="1077">
        <f>IF(ISNUMBER(C21),VLOOKUP(AO33,B21:AR32,43,FALSE),"")</f>
        <v>20.599999999999998</v>
      </c>
      <c r="T31" s="1077"/>
      <c r="U31" s="298">
        <f>IF(ISNUMBER(S31),S31/R31,"")</f>
        <v>0.58857142857142852</v>
      </c>
      <c r="V31" s="297">
        <f>IF(ISNUMBER(C21),VLOOKUP(AO33,B$21:BE$32,45,FALSE),"")</f>
        <v>1.6</v>
      </c>
      <c r="W31" s="1083"/>
      <c r="X31" s="1084"/>
      <c r="Y31" s="1084"/>
      <c r="Z31" s="1084"/>
      <c r="AA31" s="161"/>
      <c r="AB31" s="161"/>
      <c r="AC31" s="161"/>
      <c r="AD31" s="161"/>
      <c r="AE31" s="161"/>
      <c r="AF31" s="161"/>
      <c r="AG31" s="161"/>
      <c r="AH31" s="161"/>
      <c r="AI31" s="161"/>
      <c r="AJ31" s="161"/>
      <c r="AK31" s="168"/>
      <c r="AL31" s="161"/>
      <c r="AM31" s="161"/>
      <c r="AN31" s="160" t="str">
        <f t="shared" si="13"/>
        <v/>
      </c>
      <c r="AO31" s="160" t="str">
        <f t="shared" si="14"/>
        <v/>
      </c>
      <c r="AP31" s="160" t="str">
        <f t="shared" si="15"/>
        <v/>
      </c>
      <c r="AQ31" s="5">
        <f>AVERAGE(D21:D31)</f>
        <v>31.666666666666668</v>
      </c>
      <c r="AR31" s="31">
        <f>AVERAGE(E21:E31)</f>
        <v>27.533333333333331</v>
      </c>
      <c r="AS31" s="46">
        <f>AVERAGE(AT21:AT31)</f>
        <v>3.2166666666666668</v>
      </c>
      <c r="AT31" s="617" t="str">
        <f t="shared" si="8"/>
        <v/>
      </c>
      <c r="AU31" s="59">
        <f t="shared" si="16"/>
        <v>0</v>
      </c>
      <c r="AV31" s="59" t="str">
        <f t="shared" si="92"/>
        <v/>
      </c>
      <c r="AW31" s="730" t="str">
        <f t="shared" si="17"/>
        <v>No Data</v>
      </c>
      <c r="AX31" s="737">
        <f t="shared" si="93"/>
        <v>0</v>
      </c>
      <c r="AY31" s="737" t="str">
        <f t="shared" si="18"/>
        <v/>
      </c>
      <c r="BA31" s="699" t="str">
        <f>VLOOKUP(BA30,BC22:BH29,BB31+1,TRUE)</f>
        <v>High</v>
      </c>
      <c r="BB31" s="699">
        <f>IF(BB30=0,1,IF(BB30=0.35,2,IF(BB30=0.55,3,IF(BB30=0.75,4,IF(BB30=0.95,5,"")))))</f>
        <v>3</v>
      </c>
      <c r="BU31" s="755" t="e">
        <f>VLOOKUP(TRUE,BY22:CW121,19,FALSE)</f>
        <v>#N/A</v>
      </c>
      <c r="BV31" s="756" t="s">
        <v>1524</v>
      </c>
      <c r="BY31" s="753" t="b">
        <f t="shared" si="94"/>
        <v>0</v>
      </c>
      <c r="BZ31" s="753">
        <f t="shared" si="19"/>
        <v>8.2288633033521155</v>
      </c>
      <c r="CA31" s="751">
        <v>10</v>
      </c>
      <c r="CB31" s="752">
        <f t="shared" si="102"/>
        <v>12</v>
      </c>
      <c r="CC31" s="673">
        <f t="shared" si="20"/>
        <v>3.771136696647885</v>
      </c>
      <c r="CD31" s="91">
        <f t="shared" si="9"/>
        <v>2</v>
      </c>
      <c r="CE31" s="752" t="b">
        <f t="shared" si="21"/>
        <v>0</v>
      </c>
      <c r="CF31" s="673"/>
      <c r="CG31" s="752">
        <f t="shared" si="22"/>
        <v>3.771136696647885</v>
      </c>
      <c r="CH31" s="752">
        <f t="shared" si="23"/>
        <v>0.1052760729295978</v>
      </c>
      <c r="CI31" s="752">
        <f t="shared" si="24"/>
        <v>7.041279684594547E-3</v>
      </c>
      <c r="CJ31" s="755">
        <f t="shared" si="25"/>
        <v>4.7298671401592749</v>
      </c>
      <c r="CK31" s="755">
        <f t="shared" si="26"/>
        <v>2.4674746324000849</v>
      </c>
      <c r="CL31" s="755">
        <f t="shared" si="27"/>
        <v>3.5111353927357176</v>
      </c>
      <c r="CM31" s="755">
        <f t="shared" si="28"/>
        <v>6.9042593520197064</v>
      </c>
      <c r="CN31" s="755">
        <f t="shared" si="29"/>
        <v>2.1524137155738052</v>
      </c>
      <c r="CO31" s="755">
        <f t="shared" si="30"/>
        <v>3.0750817641218728</v>
      </c>
      <c r="CP31" s="755">
        <f t="shared" si="31"/>
        <v>131.59509116199726</v>
      </c>
      <c r="CQ31" s="755">
        <f t="shared" si="32"/>
        <v>21.33242319689267</v>
      </c>
      <c r="CR31" s="755">
        <f t="shared" si="95"/>
        <v>10.783076993754815</v>
      </c>
      <c r="CS31" s="755">
        <f t="shared" si="33"/>
        <v>4.9013986335249156</v>
      </c>
      <c r="CT31" s="755">
        <f t="shared" si="34"/>
        <v>3.771136696647885</v>
      </c>
      <c r="CU31" s="755">
        <f t="shared" si="35"/>
        <v>3.1718440597864785</v>
      </c>
      <c r="CX31" s="755"/>
      <c r="CY31" s="755"/>
      <c r="CZ31" s="755">
        <f>VLOOKUP(TRUE,DD22:EB121,19,FALSE)</f>
        <v>123.48904046785402</v>
      </c>
      <c r="DA31" s="756" t="s">
        <v>1524</v>
      </c>
      <c r="DB31" s="755"/>
      <c r="DC31" s="755"/>
      <c r="DD31" s="755" t="b">
        <f t="shared" si="96"/>
        <v>0</v>
      </c>
      <c r="DE31" s="755">
        <f t="shared" si="36"/>
        <v>39.429232074144103</v>
      </c>
      <c r="DF31" s="755">
        <v>10</v>
      </c>
      <c r="DG31" s="755">
        <f t="shared" si="97"/>
        <v>45</v>
      </c>
      <c r="DH31" s="673">
        <f t="shared" si="37"/>
        <v>5.5707679258558986</v>
      </c>
      <c r="DI31" s="673">
        <f t="shared" si="38"/>
        <v>2</v>
      </c>
      <c r="DJ31" s="766" t="b">
        <f t="shared" si="39"/>
        <v>0</v>
      </c>
      <c r="DK31" s="673"/>
      <c r="DL31" s="766">
        <f t="shared" si="40"/>
        <v>5.5707679258558986</v>
      </c>
      <c r="DM31" s="766">
        <f t="shared" si="41"/>
        <v>2.8825645005299778E-2</v>
      </c>
      <c r="DN31" s="766">
        <f t="shared" si="42"/>
        <v>1.9279730229573165E-3</v>
      </c>
      <c r="DO31" s="766">
        <f t="shared" si="43"/>
        <v>5.325481846480371</v>
      </c>
      <c r="DP31" s="766">
        <f t="shared" si="44"/>
        <v>2.618137940118614</v>
      </c>
      <c r="DQ31" s="766">
        <f t="shared" si="45"/>
        <v>4.8538375508742808</v>
      </c>
      <c r="DR31" s="766">
        <f t="shared" si="46"/>
        <v>9.5445346178169004</v>
      </c>
      <c r="DS31" s="766">
        <f t="shared" si="47"/>
        <v>2.5571989197416127</v>
      </c>
      <c r="DT31" s="766">
        <f t="shared" si="48"/>
        <v>3.6353789073543101</v>
      </c>
      <c r="DU31" s="766">
        <f t="shared" si="49"/>
        <v>36.03205625662472</v>
      </c>
      <c r="DV31" s="766">
        <f t="shared" si="50"/>
        <v>5.8410314999845374</v>
      </c>
      <c r="DW31" s="766">
        <f t="shared" si="51"/>
        <v>39.381599259662231</v>
      </c>
      <c r="DX31" s="766">
        <f t="shared" si="52"/>
        <v>17.900726936210102</v>
      </c>
      <c r="DY31" s="766">
        <f t="shared" si="53"/>
        <v>5.5707679258558986</v>
      </c>
      <c r="DZ31" s="766">
        <f t="shared" si="54"/>
        <v>3.9405358611374668</v>
      </c>
      <c r="EB31" s="755" t="e">
        <f>VLOOKUP(TRUE,EF22:FD121,19,FALSE)</f>
        <v>#N/A</v>
      </c>
      <c r="EC31" s="756" t="s">
        <v>1524</v>
      </c>
      <c r="ED31" s="755"/>
      <c r="EE31" s="755"/>
      <c r="EF31" s="755" t="b">
        <f t="shared" si="98"/>
        <v>0</v>
      </c>
      <c r="EG31" s="755">
        <f t="shared" si="55"/>
        <v>8.2288633033521155</v>
      </c>
      <c r="EH31" s="755">
        <v>10</v>
      </c>
      <c r="EI31" s="755">
        <f t="shared" si="103"/>
        <v>12</v>
      </c>
      <c r="EJ31" s="673">
        <f t="shared" si="56"/>
        <v>3.771136696647885</v>
      </c>
      <c r="EK31" s="673">
        <f t="shared" si="57"/>
        <v>2.2510196371999172</v>
      </c>
      <c r="EL31" s="755" t="b">
        <f t="shared" si="58"/>
        <v>0</v>
      </c>
      <c r="EM31" s="673"/>
      <c r="EN31" s="755">
        <f t="shared" si="59"/>
        <v>3.771136696647885</v>
      </c>
      <c r="EO31" s="755">
        <f t="shared" si="60"/>
        <v>0.1052760729295978</v>
      </c>
      <c r="EP31" s="755">
        <f t="shared" si="61"/>
        <v>7.041279684594547E-3</v>
      </c>
      <c r="EQ31" s="755">
        <f t="shared" si="62"/>
        <v>4.7298671401592749</v>
      </c>
      <c r="ER31" s="755">
        <f t="shared" si="63"/>
        <v>2.4674746324000849</v>
      </c>
      <c r="ES31" s="755">
        <f t="shared" si="64"/>
        <v>3.5111353927357176</v>
      </c>
      <c r="ET31" s="755">
        <f t="shared" si="65"/>
        <v>6.9042593520197064</v>
      </c>
      <c r="EU31" s="755">
        <f t="shared" si="66"/>
        <v>2.1524137155738052</v>
      </c>
      <c r="EV31" s="755">
        <f t="shared" si="67"/>
        <v>3.0750817641218728</v>
      </c>
      <c r="EW31" s="755">
        <f t="shared" si="68"/>
        <v>131.59509116199726</v>
      </c>
      <c r="EX31" s="755">
        <f t="shared" si="69"/>
        <v>21.33242319689267</v>
      </c>
      <c r="EY31" s="755">
        <f t="shared" si="99"/>
        <v>10.783076993754815</v>
      </c>
      <c r="EZ31" s="755">
        <f t="shared" si="70"/>
        <v>4.9013986335249156</v>
      </c>
      <c r="FA31" s="755">
        <f t="shared" si="71"/>
        <v>3.771136696647885</v>
      </c>
      <c r="FB31" s="755">
        <f t="shared" si="72"/>
        <v>3.1718440597864785</v>
      </c>
      <c r="FC31" s="755"/>
      <c r="FD31" s="755"/>
      <c r="FE31" s="755"/>
      <c r="FF31" s="755"/>
      <c r="FG31" s="755">
        <f>VLOOKUP(TRUE,FK22:GI121,19,FALSE)</f>
        <v>99.233110191336323</v>
      </c>
      <c r="FH31" s="756" t="s">
        <v>1524</v>
      </c>
      <c r="FI31" s="755"/>
      <c r="FJ31" s="755"/>
      <c r="FK31" s="755" t="b">
        <f t="shared" si="100"/>
        <v>0</v>
      </c>
      <c r="FL31" s="755">
        <f t="shared" si="73"/>
        <v>41.059464138862531</v>
      </c>
      <c r="FM31" s="755">
        <v>10</v>
      </c>
      <c r="FN31" s="767">
        <f t="shared" si="101"/>
        <v>45</v>
      </c>
      <c r="FO31" s="673">
        <f t="shared" si="74"/>
        <v>3.9405358611374668</v>
      </c>
      <c r="FP31" s="673">
        <f t="shared" si="75"/>
        <v>2.2510196371999172</v>
      </c>
      <c r="FQ31" s="766" t="b">
        <f t="shared" si="76"/>
        <v>0</v>
      </c>
      <c r="FR31" s="673"/>
      <c r="FS31" s="767">
        <f t="shared" si="77"/>
        <v>3.9405358611374668</v>
      </c>
      <c r="FT31" s="766">
        <f t="shared" si="78"/>
        <v>2.8825645005299778E-2</v>
      </c>
      <c r="FU31" s="766">
        <f t="shared" si="79"/>
        <v>1.9279730229573165E-3</v>
      </c>
      <c r="FV31" s="766">
        <f t="shared" si="80"/>
        <v>5.325481846480371</v>
      </c>
      <c r="FW31" s="766">
        <f t="shared" si="81"/>
        <v>2.618137940118614</v>
      </c>
      <c r="FX31" s="766">
        <f t="shared" si="82"/>
        <v>5.4630418213981793</v>
      </c>
      <c r="FY31" s="766">
        <f t="shared" si="83"/>
        <v>10.742467426320124</v>
      </c>
      <c r="FZ31" s="766">
        <f t="shared" si="84"/>
        <v>2.5571989197416127</v>
      </c>
      <c r="GA31" s="766">
        <f t="shared" si="85"/>
        <v>3.6353789073543101</v>
      </c>
      <c r="GB31" s="766">
        <f t="shared" si="86"/>
        <v>36.03205625662472</v>
      </c>
      <c r="GC31" s="766">
        <f t="shared" si="87"/>
        <v>5.8410314999845374</v>
      </c>
      <c r="GD31" s="766">
        <f t="shared" si="88"/>
        <v>39.381599259662231</v>
      </c>
      <c r="GE31" s="766">
        <f t="shared" si="89"/>
        <v>17.900726936210102</v>
      </c>
      <c r="GF31" s="766">
        <f t="shared" si="90"/>
        <v>6.3652760669669632</v>
      </c>
      <c r="GG31" s="766">
        <f t="shared" si="91"/>
        <v>3.9405358611374668</v>
      </c>
    </row>
    <row r="32" spans="1:189" s="5" customFormat="1" ht="16" thickBot="1">
      <c r="A32" s="162"/>
      <c r="B32" s="299">
        <v>12</v>
      </c>
      <c r="C32" s="300"/>
      <c r="D32" s="300"/>
      <c r="E32" s="300"/>
      <c r="F32" s="300"/>
      <c r="G32" s="300"/>
      <c r="H32" s="300"/>
      <c r="I32" s="300"/>
      <c r="J32" s="300"/>
      <c r="K32" s="667"/>
      <c r="L32" s="299" t="str">
        <f t="shared" si="10"/>
        <v/>
      </c>
      <c r="M32" s="414" t="str">
        <f t="shared" si="11"/>
        <v/>
      </c>
      <c r="N32" s="404" t="str">
        <f t="shared" si="12"/>
        <v/>
      </c>
      <c r="O32" s="1104" t="s">
        <v>873</v>
      </c>
      <c r="P32" s="1105"/>
      <c r="Q32" s="1105"/>
      <c r="R32" s="414">
        <f>IF(ISNUMBER(C21),VLOOKUP(AP33,B21:AR32,42,FALSE),"")</f>
        <v>33</v>
      </c>
      <c r="S32" s="1078">
        <f>IF(ISNUMBER(C21),VLOOKUP(AP33,B21:AR32,43,FALSE),"")</f>
        <v>19.399999999999999</v>
      </c>
      <c r="T32" s="1078"/>
      <c r="U32" s="305">
        <f>IF(ISNUMBER(S32),S32/R32,"")</f>
        <v>0.58787878787878789</v>
      </c>
      <c r="V32" s="301">
        <f>IF(ISNUMBER(C21),VLOOKUP(AP33,B$21:BE$32,45,FALSE),"")</f>
        <v>2.4</v>
      </c>
      <c r="W32" s="1083"/>
      <c r="X32" s="1084"/>
      <c r="Y32" s="1084"/>
      <c r="Z32" s="1084"/>
      <c r="AA32" s="161"/>
      <c r="AB32" s="161"/>
      <c r="AC32" s="161"/>
      <c r="AD32" s="161"/>
      <c r="AE32" s="161"/>
      <c r="AF32" s="161"/>
      <c r="AG32" s="161"/>
      <c r="AH32" s="161"/>
      <c r="AI32" s="161"/>
      <c r="AJ32" s="161"/>
      <c r="AK32" s="168"/>
      <c r="AL32" s="161"/>
      <c r="AM32" s="161"/>
      <c r="AN32" s="160" t="str">
        <f t="shared" si="13"/>
        <v/>
      </c>
      <c r="AO32" s="160" t="str">
        <f t="shared" si="14"/>
        <v/>
      </c>
      <c r="AP32" s="160" t="str">
        <f t="shared" si="15"/>
        <v/>
      </c>
      <c r="AQ32" s="5">
        <f>AVERAGE(D21:D32)</f>
        <v>31.666666666666668</v>
      </c>
      <c r="AR32" s="31">
        <f>AVERAGE(E21:E32)</f>
        <v>27.533333333333331</v>
      </c>
      <c r="AS32" s="46">
        <f>AVERAGE(AT21:AT32)</f>
        <v>3.2166666666666668</v>
      </c>
      <c r="AT32" s="617" t="str">
        <f t="shared" si="8"/>
        <v/>
      </c>
      <c r="AU32" s="59">
        <f t="shared" si="16"/>
        <v>0</v>
      </c>
      <c r="AV32" s="59" t="str">
        <f t="shared" si="92"/>
        <v/>
      </c>
      <c r="AW32" s="730" t="str">
        <f t="shared" si="17"/>
        <v>No Data</v>
      </c>
      <c r="AX32" s="737">
        <f t="shared" si="93"/>
        <v>0</v>
      </c>
      <c r="AY32" s="737" t="str">
        <f t="shared" si="18"/>
        <v/>
      </c>
      <c r="BV32" s="756"/>
      <c r="BY32" s="753" t="b">
        <f t="shared" si="94"/>
        <v>0</v>
      </c>
      <c r="BZ32" s="753">
        <f t="shared" si="19"/>
        <v>8.6806833140418416</v>
      </c>
      <c r="CA32" s="751">
        <v>11</v>
      </c>
      <c r="CB32" s="752">
        <f t="shared" si="102"/>
        <v>12.5</v>
      </c>
      <c r="CC32" s="673">
        <f t="shared" si="20"/>
        <v>3.8193166859581589</v>
      </c>
      <c r="CD32" s="91">
        <f t="shared" si="9"/>
        <v>2</v>
      </c>
      <c r="CE32" s="752" t="b">
        <f t="shared" si="21"/>
        <v>0</v>
      </c>
      <c r="CF32" s="673"/>
      <c r="CG32" s="752">
        <f t="shared" si="22"/>
        <v>3.8193166859581589</v>
      </c>
      <c r="CH32" s="752">
        <f t="shared" si="23"/>
        <v>0.10114757722727523</v>
      </c>
      <c r="CI32" s="752">
        <f t="shared" si="24"/>
        <v>6.7651495810700738E-3</v>
      </c>
      <c r="CJ32" s="755">
        <f t="shared" si="25"/>
        <v>4.7576719264347105</v>
      </c>
      <c r="CK32" s="755">
        <f t="shared" si="26"/>
        <v>2.4749558446962547</v>
      </c>
      <c r="CL32" s="755">
        <f t="shared" si="27"/>
        <v>3.5464278148578785</v>
      </c>
      <c r="CM32" s="755">
        <f t="shared" si="28"/>
        <v>6.9736579961154286</v>
      </c>
      <c r="CN32" s="755">
        <f t="shared" si="29"/>
        <v>2.1640062286902948</v>
      </c>
      <c r="CO32" s="755">
        <f t="shared" si="30"/>
        <v>3.0911024796896727</v>
      </c>
      <c r="CP32" s="755">
        <f t="shared" si="31"/>
        <v>126.43447153409403</v>
      </c>
      <c r="CQ32" s="755">
        <f t="shared" si="32"/>
        <v>20.49585307190905</v>
      </c>
      <c r="CR32" s="755">
        <f t="shared" si="95"/>
        <v>11.223205054622747</v>
      </c>
      <c r="CS32" s="755">
        <f t="shared" si="33"/>
        <v>5.1014568430103395</v>
      </c>
      <c r="CT32" s="755">
        <f t="shared" si="34"/>
        <v>3.8193166859581589</v>
      </c>
      <c r="CU32" s="755">
        <f t="shared" si="35"/>
        <v>3.1939942720567607</v>
      </c>
      <c r="CX32" s="755"/>
      <c r="CY32" s="755"/>
      <c r="CZ32" s="755"/>
      <c r="DA32" s="756"/>
      <c r="DB32" s="755"/>
      <c r="DC32" s="755"/>
      <c r="DD32" s="755" t="b">
        <f t="shared" si="96"/>
        <v>0</v>
      </c>
      <c r="DE32" s="755">
        <f t="shared" si="36"/>
        <v>38.94668722940029</v>
      </c>
      <c r="DF32" s="755">
        <v>11</v>
      </c>
      <c r="DG32" s="755">
        <f t="shared" si="97"/>
        <v>44.5</v>
      </c>
      <c r="DH32" s="673">
        <f t="shared" si="37"/>
        <v>5.553312770599713</v>
      </c>
      <c r="DI32" s="673">
        <f t="shared" si="38"/>
        <v>2</v>
      </c>
      <c r="DJ32" s="766" t="b">
        <f t="shared" si="39"/>
        <v>0</v>
      </c>
      <c r="DK32" s="673"/>
      <c r="DL32" s="766">
        <f t="shared" si="40"/>
        <v>5.553312770599713</v>
      </c>
      <c r="DM32" s="766">
        <f t="shared" si="41"/>
        <v>2.9143015455891794E-2</v>
      </c>
      <c r="DN32" s="766">
        <f t="shared" si="42"/>
        <v>1.9492000125671837E-3</v>
      </c>
      <c r="DO32" s="766">
        <f t="shared" si="43"/>
        <v>5.3225964473650205</v>
      </c>
      <c r="DP32" s="766">
        <f t="shared" si="44"/>
        <v>2.6174543050288364</v>
      </c>
      <c r="DQ32" s="766">
        <f t="shared" si="45"/>
        <v>4.8405685412704136</v>
      </c>
      <c r="DR32" s="766">
        <f t="shared" si="46"/>
        <v>9.5184425782336124</v>
      </c>
      <c r="DS32" s="766">
        <f t="shared" si="47"/>
        <v>2.5535087116925599</v>
      </c>
      <c r="DT32" s="766">
        <f t="shared" si="48"/>
        <v>3.6302634251089598</v>
      </c>
      <c r="DU32" s="766">
        <f t="shared" si="49"/>
        <v>36.428769319864742</v>
      </c>
      <c r="DV32" s="766">
        <f t="shared" si="50"/>
        <v>5.9053412768770031</v>
      </c>
      <c r="DW32" s="766">
        <f t="shared" si="51"/>
        <v>38.952729573167709</v>
      </c>
      <c r="DX32" s="766">
        <f t="shared" si="52"/>
        <v>17.705786169621685</v>
      </c>
      <c r="DY32" s="766">
        <f t="shared" si="53"/>
        <v>5.553312770599713</v>
      </c>
      <c r="DZ32" s="766">
        <f t="shared" si="54"/>
        <v>3.9335729572554814</v>
      </c>
      <c r="EB32" s="755"/>
      <c r="EC32" s="756"/>
      <c r="ED32" s="755"/>
      <c r="EE32" s="755"/>
      <c r="EF32" s="755" t="b">
        <f t="shared" si="98"/>
        <v>0</v>
      </c>
      <c r="EG32" s="755">
        <f t="shared" si="55"/>
        <v>8.6806833140418416</v>
      </c>
      <c r="EH32" s="755">
        <v>11</v>
      </c>
      <c r="EI32" s="755">
        <f t="shared" si="103"/>
        <v>12.5</v>
      </c>
      <c r="EJ32" s="673">
        <f t="shared" si="56"/>
        <v>3.8193166859581589</v>
      </c>
      <c r="EK32" s="673">
        <f t="shared" si="57"/>
        <v>2.2510196371999172</v>
      </c>
      <c r="EL32" s="755" t="b">
        <f t="shared" si="58"/>
        <v>0</v>
      </c>
      <c r="EM32" s="673"/>
      <c r="EN32" s="755">
        <f t="shared" si="59"/>
        <v>3.8193166859581589</v>
      </c>
      <c r="EO32" s="755">
        <f t="shared" si="60"/>
        <v>0.10114757722727523</v>
      </c>
      <c r="EP32" s="755">
        <f t="shared" si="61"/>
        <v>6.7651495810700738E-3</v>
      </c>
      <c r="EQ32" s="755">
        <f t="shared" si="62"/>
        <v>4.7576719264347105</v>
      </c>
      <c r="ER32" s="755">
        <f t="shared" si="63"/>
        <v>2.4749558446962547</v>
      </c>
      <c r="ES32" s="755">
        <f t="shared" si="64"/>
        <v>3.5464278148578785</v>
      </c>
      <c r="ET32" s="755">
        <f t="shared" si="65"/>
        <v>6.9736579961154286</v>
      </c>
      <c r="EU32" s="755">
        <f t="shared" si="66"/>
        <v>2.1640062286902948</v>
      </c>
      <c r="EV32" s="755">
        <f t="shared" si="67"/>
        <v>3.0911024796896727</v>
      </c>
      <c r="EW32" s="755">
        <f t="shared" si="68"/>
        <v>126.43447153409403</v>
      </c>
      <c r="EX32" s="755">
        <f t="shared" si="69"/>
        <v>20.49585307190905</v>
      </c>
      <c r="EY32" s="755">
        <f t="shared" si="99"/>
        <v>11.223205054622747</v>
      </c>
      <c r="EZ32" s="755">
        <f t="shared" si="70"/>
        <v>5.1014568430103395</v>
      </c>
      <c r="FA32" s="755">
        <f t="shared" si="71"/>
        <v>3.8193166859581589</v>
      </c>
      <c r="FB32" s="755">
        <f t="shared" si="72"/>
        <v>3.1939942720567607</v>
      </c>
      <c r="FC32" s="755"/>
      <c r="FD32" s="755"/>
      <c r="FE32" s="755"/>
      <c r="FF32" s="755"/>
      <c r="FG32" s="755"/>
      <c r="FH32" s="756"/>
      <c r="FI32" s="755"/>
      <c r="FJ32" s="755"/>
      <c r="FK32" s="755" t="b">
        <f t="shared" si="100"/>
        <v>0</v>
      </c>
      <c r="FL32" s="755">
        <f t="shared" si="73"/>
        <v>40.566427042744522</v>
      </c>
      <c r="FM32" s="755">
        <v>11</v>
      </c>
      <c r="FN32" s="767">
        <f t="shared" si="101"/>
        <v>44.5</v>
      </c>
      <c r="FO32" s="673">
        <f t="shared" si="74"/>
        <v>3.9335729572554814</v>
      </c>
      <c r="FP32" s="673">
        <f t="shared" si="75"/>
        <v>2.2510196371999172</v>
      </c>
      <c r="FQ32" s="766" t="b">
        <f t="shared" si="76"/>
        <v>0</v>
      </c>
      <c r="FR32" s="673"/>
      <c r="FS32" s="767">
        <f t="shared" si="77"/>
        <v>3.9335729572554814</v>
      </c>
      <c r="FT32" s="766">
        <f t="shared" si="78"/>
        <v>2.9143015455891794E-2</v>
      </c>
      <c r="FU32" s="766">
        <f t="shared" si="79"/>
        <v>1.9492000125671837E-3</v>
      </c>
      <c r="FV32" s="766">
        <f t="shared" si="80"/>
        <v>5.3225964473650205</v>
      </c>
      <c r="FW32" s="766">
        <f t="shared" si="81"/>
        <v>2.6174543050288364</v>
      </c>
      <c r="FX32" s="766">
        <f t="shared" si="82"/>
        <v>5.448107420805929</v>
      </c>
      <c r="FY32" s="766">
        <f t="shared" si="83"/>
        <v>10.713100579581836</v>
      </c>
      <c r="FZ32" s="766">
        <f t="shared" si="84"/>
        <v>2.5535087116925599</v>
      </c>
      <c r="GA32" s="766">
        <f t="shared" si="85"/>
        <v>3.6302634251089598</v>
      </c>
      <c r="GB32" s="766">
        <f t="shared" si="86"/>
        <v>36.428769319864742</v>
      </c>
      <c r="GC32" s="766">
        <f t="shared" si="87"/>
        <v>5.9053412768770031</v>
      </c>
      <c r="GD32" s="766">
        <f t="shared" si="88"/>
        <v>38.952729573167709</v>
      </c>
      <c r="GE32" s="766">
        <f t="shared" si="89"/>
        <v>17.705786169621685</v>
      </c>
      <c r="GF32" s="766">
        <f t="shared" si="90"/>
        <v>6.3459589071591562</v>
      </c>
      <c r="GG32" s="766">
        <f t="shared" si="91"/>
        <v>3.9335729572554814</v>
      </c>
    </row>
    <row r="33" spans="1:189" s="5" customFormat="1" ht="19" thickBot="1">
      <c r="A33" s="162"/>
      <c r="B33" s="169"/>
      <c r="C33" s="161"/>
      <c r="D33" s="161"/>
      <c r="E33" s="161"/>
      <c r="F33" s="161"/>
      <c r="G33" s="161"/>
      <c r="H33" s="161"/>
      <c r="I33" s="161"/>
      <c r="J33" s="161"/>
      <c r="K33" s="161"/>
      <c r="L33" s="194" t="s">
        <v>918</v>
      </c>
      <c r="M33" s="161"/>
      <c r="N33" s="1106" t="str">
        <f>C13</f>
        <v>Rhodes grass, Pioneer</v>
      </c>
      <c r="O33" s="1107"/>
      <c r="P33" s="1107"/>
      <c r="Q33" s="1107"/>
      <c r="R33" s="1107"/>
      <c r="S33" s="1107"/>
      <c r="T33" s="480">
        <f>IF($AZ86,BC86,"")</f>
        <v>100</v>
      </c>
      <c r="U33" s="1070" t="str">
        <f>IF(AS95,"Threshold value used","")</f>
        <v/>
      </c>
      <c r="V33" s="1070"/>
      <c r="W33" s="1070"/>
      <c r="X33" s="765"/>
      <c r="Y33" s="161"/>
      <c r="Z33" s="161"/>
      <c r="AA33" s="161"/>
      <c r="AB33" s="161"/>
      <c r="AC33" s="161"/>
      <c r="AD33" s="161"/>
      <c r="AE33" s="161"/>
      <c r="AF33" s="161"/>
      <c r="AG33" s="161"/>
      <c r="AH33" s="161"/>
      <c r="AI33" s="161"/>
      <c r="AJ33" s="161"/>
      <c r="AK33" s="168"/>
      <c r="AL33" s="161"/>
      <c r="AM33" s="161"/>
      <c r="AN33" s="5">
        <f>MATCH(0,AN21:AN32,1)</f>
        <v>5</v>
      </c>
      <c r="AO33" s="31">
        <f>MATCH(0,AO21:AO32,1)</f>
        <v>3</v>
      </c>
      <c r="AP33" s="59">
        <f>MATCH(0,AP21:AP32,1)</f>
        <v>1</v>
      </c>
      <c r="BS33" s="59"/>
      <c r="BT33" s="59"/>
      <c r="BV33" s="756"/>
      <c r="BY33" s="753" t="b">
        <f t="shared" si="94"/>
        <v>0</v>
      </c>
      <c r="BZ33" s="753">
        <f t="shared" si="19"/>
        <v>9.1339832188574128</v>
      </c>
      <c r="CA33" s="751">
        <v>12</v>
      </c>
      <c r="CB33" s="752">
        <f t="shared" si="102"/>
        <v>13</v>
      </c>
      <c r="CC33" s="673">
        <f t="shared" si="20"/>
        <v>3.8660167811425863</v>
      </c>
      <c r="CD33" s="91">
        <f t="shared" si="9"/>
        <v>2</v>
      </c>
      <c r="CE33" s="752" t="b">
        <f t="shared" si="21"/>
        <v>0</v>
      </c>
      <c r="CF33" s="673"/>
      <c r="CG33" s="752">
        <f t="shared" si="22"/>
        <v>3.8660167811425863</v>
      </c>
      <c r="CH33" s="752">
        <f t="shared" si="23"/>
        <v>9.7333605726930034E-2</v>
      </c>
      <c r="CI33" s="752">
        <f t="shared" si="24"/>
        <v>6.5100560988030978E-3</v>
      </c>
      <c r="CJ33" s="755">
        <f t="shared" si="25"/>
        <v>4.7837394299531404</v>
      </c>
      <c r="CK33" s="755">
        <f t="shared" si="26"/>
        <v>2.4819279246200976</v>
      </c>
      <c r="CL33" s="755">
        <f t="shared" si="27"/>
        <v>3.5806699589127566</v>
      </c>
      <c r="CM33" s="755">
        <f t="shared" si="28"/>
        <v>7.0409913845724015</v>
      </c>
      <c r="CN33" s="755">
        <f t="shared" si="29"/>
        <v>2.1751958163736362</v>
      </c>
      <c r="CO33" s="755">
        <f t="shared" si="30"/>
        <v>3.1065679041944865</v>
      </c>
      <c r="CP33" s="755">
        <f t="shared" si="31"/>
        <v>121.66700715866254</v>
      </c>
      <c r="CQ33" s="755">
        <f t="shared" si="32"/>
        <v>19.723015979470574</v>
      </c>
      <c r="CR33" s="755">
        <f t="shared" si="95"/>
        <v>11.662981059027134</v>
      </c>
      <c r="CS33" s="755">
        <f t="shared" si="33"/>
        <v>5.3013550268305147</v>
      </c>
      <c r="CT33" s="755">
        <f t="shared" si="34"/>
        <v>3.8660167811425863</v>
      </c>
      <c r="CU33" s="755">
        <f t="shared" si="35"/>
        <v>3.2153671287539307</v>
      </c>
      <c r="CX33" s="755"/>
      <c r="CY33" s="755"/>
      <c r="CZ33" s="755"/>
      <c r="DA33" s="756"/>
      <c r="DB33" s="755"/>
      <c r="DC33" s="755"/>
      <c r="DD33" s="755" t="b">
        <f t="shared" si="96"/>
        <v>0</v>
      </c>
      <c r="DE33" s="755">
        <f t="shared" si="36"/>
        <v>38.464297630523092</v>
      </c>
      <c r="DF33" s="755">
        <v>12</v>
      </c>
      <c r="DG33" s="755">
        <f t="shared" si="97"/>
        <v>44</v>
      </c>
      <c r="DH33" s="673">
        <f t="shared" si="37"/>
        <v>5.5357023694769047</v>
      </c>
      <c r="DI33" s="673">
        <f t="shared" si="38"/>
        <v>2</v>
      </c>
      <c r="DJ33" s="766" t="b">
        <f t="shared" si="39"/>
        <v>0</v>
      </c>
      <c r="DK33" s="673"/>
      <c r="DL33" s="766">
        <f t="shared" si="40"/>
        <v>5.5357023694769047</v>
      </c>
      <c r="DM33" s="766">
        <f t="shared" si="41"/>
        <v>2.9467525934783322E-2</v>
      </c>
      <c r="DN33" s="766">
        <f t="shared" si="42"/>
        <v>1.9709045554787055E-3</v>
      </c>
      <c r="DO33" s="766">
        <f t="shared" si="43"/>
        <v>5.3196503332680249</v>
      </c>
      <c r="DP33" s="766">
        <f t="shared" si="44"/>
        <v>2.6167558433225695</v>
      </c>
      <c r="DQ33" s="766">
        <f t="shared" si="45"/>
        <v>4.8271864866324607</v>
      </c>
      <c r="DR33" s="766">
        <f t="shared" si="46"/>
        <v>9.4921282480957068</v>
      </c>
      <c r="DS33" s="766">
        <f t="shared" si="47"/>
        <v>2.5497817150352775</v>
      </c>
      <c r="DT33" s="766">
        <f t="shared" si="48"/>
        <v>3.6250970735018533</v>
      </c>
      <c r="DU33" s="766">
        <f t="shared" si="49"/>
        <v>36.834407418479152</v>
      </c>
      <c r="DV33" s="766">
        <f t="shared" si="50"/>
        <v>5.9710978602572533</v>
      </c>
      <c r="DW33" s="766">
        <f t="shared" si="51"/>
        <v>38.523763498584572</v>
      </c>
      <c r="DX33" s="766">
        <f t="shared" si="52"/>
        <v>17.510801590265714</v>
      </c>
      <c r="DY33" s="766">
        <f t="shared" si="53"/>
        <v>5.5357023694769047</v>
      </c>
      <c r="DZ33" s="766">
        <f t="shared" si="54"/>
        <v>3.9265397882888351</v>
      </c>
      <c r="EB33" s="755"/>
      <c r="EC33" s="756"/>
      <c r="ED33" s="755"/>
      <c r="EE33" s="755"/>
      <c r="EF33" s="755" t="b">
        <f t="shared" si="98"/>
        <v>0</v>
      </c>
      <c r="EG33" s="755">
        <f t="shared" si="55"/>
        <v>9.1339832188574128</v>
      </c>
      <c r="EH33" s="755">
        <v>12</v>
      </c>
      <c r="EI33" s="755">
        <f t="shared" si="103"/>
        <v>13</v>
      </c>
      <c r="EJ33" s="673">
        <f t="shared" si="56"/>
        <v>3.8660167811425863</v>
      </c>
      <c r="EK33" s="673">
        <f t="shared" si="57"/>
        <v>2.2510196371999172</v>
      </c>
      <c r="EL33" s="755" t="b">
        <f t="shared" si="58"/>
        <v>0</v>
      </c>
      <c r="EM33" s="673"/>
      <c r="EN33" s="755">
        <f t="shared" si="59"/>
        <v>3.8660167811425863</v>
      </c>
      <c r="EO33" s="755">
        <f t="shared" si="60"/>
        <v>9.7333605726930034E-2</v>
      </c>
      <c r="EP33" s="755">
        <f t="shared" si="61"/>
        <v>6.5100560988030978E-3</v>
      </c>
      <c r="EQ33" s="755">
        <f t="shared" si="62"/>
        <v>4.7837394299531404</v>
      </c>
      <c r="ER33" s="755">
        <f t="shared" si="63"/>
        <v>2.4819279246200976</v>
      </c>
      <c r="ES33" s="755">
        <f t="shared" si="64"/>
        <v>3.5806699589127566</v>
      </c>
      <c r="ET33" s="755">
        <f t="shared" si="65"/>
        <v>7.0409913845724015</v>
      </c>
      <c r="EU33" s="755">
        <f t="shared" si="66"/>
        <v>2.1751958163736362</v>
      </c>
      <c r="EV33" s="755">
        <f t="shared" si="67"/>
        <v>3.1065679041944865</v>
      </c>
      <c r="EW33" s="755">
        <f t="shared" si="68"/>
        <v>121.66700715866254</v>
      </c>
      <c r="EX33" s="755">
        <f t="shared" si="69"/>
        <v>19.723015979470574</v>
      </c>
      <c r="EY33" s="755">
        <f t="shared" si="99"/>
        <v>11.662981059027134</v>
      </c>
      <c r="EZ33" s="755">
        <f t="shared" si="70"/>
        <v>5.3013550268305147</v>
      </c>
      <c r="FA33" s="755">
        <f t="shared" si="71"/>
        <v>3.8660167811425863</v>
      </c>
      <c r="FB33" s="755">
        <f t="shared" si="72"/>
        <v>3.2153671287539307</v>
      </c>
      <c r="FC33" s="755"/>
      <c r="FD33" s="755"/>
      <c r="FE33" s="755"/>
      <c r="FF33" s="755"/>
      <c r="FG33" s="755"/>
      <c r="FH33" s="756"/>
      <c r="FI33" s="755"/>
      <c r="FJ33" s="755"/>
      <c r="FK33" s="755" t="b">
        <f t="shared" si="100"/>
        <v>0</v>
      </c>
      <c r="FL33" s="755">
        <f t="shared" si="73"/>
        <v>40.073460211711165</v>
      </c>
      <c r="FM33" s="755">
        <v>12</v>
      </c>
      <c r="FN33" s="767">
        <f t="shared" si="101"/>
        <v>44</v>
      </c>
      <c r="FO33" s="673">
        <f t="shared" si="74"/>
        <v>3.9265397882888351</v>
      </c>
      <c r="FP33" s="673">
        <f t="shared" si="75"/>
        <v>2.2510196371999172</v>
      </c>
      <c r="FQ33" s="766" t="b">
        <f t="shared" si="76"/>
        <v>0</v>
      </c>
      <c r="FR33" s="673"/>
      <c r="FS33" s="767">
        <f t="shared" si="77"/>
        <v>3.9265397882888351</v>
      </c>
      <c r="FT33" s="766">
        <f t="shared" si="78"/>
        <v>2.9467525934783322E-2</v>
      </c>
      <c r="FU33" s="766">
        <f t="shared" si="79"/>
        <v>1.9709045554787055E-3</v>
      </c>
      <c r="FV33" s="766">
        <f t="shared" si="80"/>
        <v>5.3196503332680249</v>
      </c>
      <c r="FW33" s="766">
        <f t="shared" si="81"/>
        <v>2.6167558433225695</v>
      </c>
      <c r="FX33" s="766">
        <f t="shared" si="82"/>
        <v>5.4330457869178721</v>
      </c>
      <c r="FY33" s="766">
        <f t="shared" si="83"/>
        <v>10.683483542641742</v>
      </c>
      <c r="FZ33" s="766">
        <f t="shared" si="84"/>
        <v>2.5497817150352775</v>
      </c>
      <c r="GA33" s="766">
        <f t="shared" si="85"/>
        <v>3.6250970735018533</v>
      </c>
      <c r="GB33" s="766">
        <f t="shared" si="86"/>
        <v>36.834407418479152</v>
      </c>
      <c r="GC33" s="766">
        <f t="shared" si="87"/>
        <v>5.9710978602572533</v>
      </c>
      <c r="GD33" s="766">
        <f t="shared" si="88"/>
        <v>38.523763498584572</v>
      </c>
      <c r="GE33" s="766">
        <f t="shared" si="89"/>
        <v>17.510801590265714</v>
      </c>
      <c r="GF33" s="766">
        <f t="shared" si="90"/>
        <v>6.3264691010201037</v>
      </c>
      <c r="GG33" s="766">
        <f t="shared" si="91"/>
        <v>3.9265397882888351</v>
      </c>
    </row>
    <row r="34" spans="1:189" s="5" customFormat="1" ht="15.65" customHeight="1" thickTop="1">
      <c r="A34" s="162"/>
      <c r="B34" s="169"/>
      <c r="C34" s="161"/>
      <c r="D34" s="1071" t="s">
        <v>1725</v>
      </c>
      <c r="E34" s="1071"/>
      <c r="F34" s="1071"/>
      <c r="G34" s="1071"/>
      <c r="H34" s="1071"/>
      <c r="I34" s="1071"/>
      <c r="J34" s="1071"/>
      <c r="K34" s="1071"/>
      <c r="L34" s="1071"/>
      <c r="M34" s="1071"/>
      <c r="N34" s="1066" t="s">
        <v>1053</v>
      </c>
      <c r="O34" s="1066"/>
      <c r="P34" s="1066"/>
      <c r="Q34" s="1066"/>
      <c r="R34" s="1066"/>
      <c r="S34" s="1066"/>
      <c r="T34" s="1066"/>
      <c r="U34" s="1066"/>
      <c r="V34" s="803"/>
      <c r="W34" s="803"/>
      <c r="X34" s="602"/>
      <c r="Y34" s="161"/>
      <c r="Z34" s="161"/>
      <c r="AA34" s="161"/>
      <c r="AB34" s="161"/>
      <c r="AC34" s="189" t="str">
        <f>IF(W7&gt;10,"The EC i+r exceeds the graph axis","")</f>
        <v/>
      </c>
      <c r="AD34" s="163"/>
      <c r="AE34" s="189"/>
      <c r="AF34" s="163"/>
      <c r="AG34" s="189" t="str">
        <f>IF(OR(X7&gt;30,Z7&gt;30),"At least one SAR value exceeds the graph axis","")</f>
        <v/>
      </c>
      <c r="AH34" s="161"/>
      <c r="AI34" s="161"/>
      <c r="AJ34" s="161"/>
      <c r="AK34" s="168"/>
      <c r="AL34" s="161"/>
      <c r="AM34" s="161"/>
      <c r="BU34" s="5" t="e">
        <f>VLOOKUP(TRUE,BY22:CW121,20,FALSE)</f>
        <v>#N/A</v>
      </c>
      <c r="BV34" s="756" t="s">
        <v>920</v>
      </c>
      <c r="BY34" s="753" t="b">
        <f t="shared" si="94"/>
        <v>0</v>
      </c>
      <c r="BZ34" s="753">
        <f t="shared" si="19"/>
        <v>9.5886635705606142</v>
      </c>
      <c r="CA34" s="751">
        <v>13</v>
      </c>
      <c r="CB34" s="752">
        <f t="shared" si="102"/>
        <v>13.5</v>
      </c>
      <c r="CC34" s="673">
        <f t="shared" si="20"/>
        <v>3.9113364294393853</v>
      </c>
      <c r="CD34" s="91">
        <f t="shared" si="9"/>
        <v>2</v>
      </c>
      <c r="CE34" s="752" t="b">
        <f t="shared" si="21"/>
        <v>0</v>
      </c>
      <c r="CF34" s="673"/>
      <c r="CG34" s="752">
        <f t="shared" si="22"/>
        <v>3.9113364294393853</v>
      </c>
      <c r="CH34" s="752">
        <f t="shared" si="23"/>
        <v>9.3799431078952528E-2</v>
      </c>
      <c r="CI34" s="752">
        <f t="shared" si="24"/>
        <v>6.2736765354501336E-3</v>
      </c>
      <c r="CJ34" s="755">
        <f t="shared" si="25"/>
        <v>4.8082288182858477</v>
      </c>
      <c r="CK34" s="755">
        <f t="shared" si="26"/>
        <v>2.488441402195217</v>
      </c>
      <c r="CL34" s="755">
        <f t="shared" si="27"/>
        <v>3.6139317338149963</v>
      </c>
      <c r="CM34" s="755">
        <f t="shared" si="28"/>
        <v>7.1063969855380291</v>
      </c>
      <c r="CN34" s="755">
        <f t="shared" si="29"/>
        <v>2.186011215142269</v>
      </c>
      <c r="CO34" s="755">
        <f t="shared" si="30"/>
        <v>3.121517586378197</v>
      </c>
      <c r="CP34" s="755">
        <f t="shared" si="31"/>
        <v>117.24928884869065</v>
      </c>
      <c r="CQ34" s="755">
        <f t="shared" si="32"/>
        <v>19.006875007031347</v>
      </c>
      <c r="CR34" s="755">
        <f t="shared" si="95"/>
        <v>12.102418820051088</v>
      </c>
      <c r="CS34" s="755">
        <f t="shared" si="33"/>
        <v>5.5010994636595854</v>
      </c>
      <c r="CT34" s="755">
        <f t="shared" si="34"/>
        <v>3.9113364294393853</v>
      </c>
      <c r="CU34" s="755">
        <f t="shared" si="35"/>
        <v>3.2360182729029772</v>
      </c>
      <c r="CX34" s="755"/>
      <c r="CY34" s="755"/>
      <c r="CZ34" s="755">
        <f>VLOOKUP(TRUE,DD22:EB121,20,FALSE)</f>
        <v>1.8627496085803237</v>
      </c>
      <c r="DA34" s="756" t="s">
        <v>920</v>
      </c>
      <c r="DB34" s="755"/>
      <c r="DC34" s="755"/>
      <c r="DD34" s="755" t="b">
        <f t="shared" si="96"/>
        <v>0</v>
      </c>
      <c r="DE34" s="755">
        <f t="shared" si="36"/>
        <v>37.98206642899693</v>
      </c>
      <c r="DF34" s="755">
        <v>13</v>
      </c>
      <c r="DG34" s="755">
        <f t="shared" si="97"/>
        <v>43.5</v>
      </c>
      <c r="DH34" s="673">
        <f t="shared" si="37"/>
        <v>5.5179335710030681</v>
      </c>
      <c r="DI34" s="673">
        <f t="shared" si="38"/>
        <v>2</v>
      </c>
      <c r="DJ34" s="766" t="b">
        <f t="shared" si="39"/>
        <v>0</v>
      </c>
      <c r="DK34" s="673"/>
      <c r="DL34" s="766">
        <f t="shared" si="40"/>
        <v>5.5179335710030681</v>
      </c>
      <c r="DM34" s="766">
        <f t="shared" si="41"/>
        <v>2.9799420980563748E-2</v>
      </c>
      <c r="DN34" s="766">
        <f t="shared" si="42"/>
        <v>1.9931030073988688E-3</v>
      </c>
      <c r="DO34" s="766">
        <f t="shared" si="43"/>
        <v>5.3166415590377873</v>
      </c>
      <c r="DP34" s="766">
        <f t="shared" si="44"/>
        <v>2.6160420654730276</v>
      </c>
      <c r="DQ34" s="766">
        <f t="shared" si="45"/>
        <v>4.8136891226864238</v>
      </c>
      <c r="DR34" s="766">
        <f t="shared" si="46"/>
        <v>9.4655871749588414</v>
      </c>
      <c r="DS34" s="766">
        <f t="shared" si="47"/>
        <v>2.5460171381987799</v>
      </c>
      <c r="DT34" s="766">
        <f t="shared" si="48"/>
        <v>3.6198787594674142</v>
      </c>
      <c r="DU34" s="766">
        <f t="shared" si="49"/>
        <v>37.249276225704683</v>
      </c>
      <c r="DV34" s="766">
        <f t="shared" si="50"/>
        <v>6.0383508017520873</v>
      </c>
      <c r="DW34" s="766">
        <f t="shared" si="51"/>
        <v>38.094699918512447</v>
      </c>
      <c r="DX34" s="766">
        <f t="shared" si="52"/>
        <v>17.315772690232929</v>
      </c>
      <c r="DY34" s="766">
        <f t="shared" si="53"/>
        <v>5.5179335710030681</v>
      </c>
      <c r="DZ34" s="766">
        <f t="shared" si="54"/>
        <v>3.9194348352282118</v>
      </c>
      <c r="EB34" s="755" t="e">
        <f>VLOOKUP(TRUE,EF22:FD121,20,FALSE)</f>
        <v>#N/A</v>
      </c>
      <c r="EC34" s="756" t="s">
        <v>920</v>
      </c>
      <c r="ED34" s="755"/>
      <c r="EE34" s="755"/>
      <c r="EF34" s="755" t="b">
        <f t="shared" si="98"/>
        <v>0</v>
      </c>
      <c r="EG34" s="755">
        <f t="shared" si="55"/>
        <v>9.5886635705606142</v>
      </c>
      <c r="EH34" s="755">
        <v>13</v>
      </c>
      <c r="EI34" s="755">
        <f t="shared" si="103"/>
        <v>13.5</v>
      </c>
      <c r="EJ34" s="673">
        <f t="shared" si="56"/>
        <v>3.9113364294393853</v>
      </c>
      <c r="EK34" s="673">
        <f t="shared" si="57"/>
        <v>2.2510196371999172</v>
      </c>
      <c r="EL34" s="755" t="b">
        <f t="shared" si="58"/>
        <v>0</v>
      </c>
      <c r="EM34" s="673"/>
      <c r="EN34" s="755">
        <f t="shared" si="59"/>
        <v>3.9113364294393853</v>
      </c>
      <c r="EO34" s="755">
        <f t="shared" si="60"/>
        <v>9.3799431078952528E-2</v>
      </c>
      <c r="EP34" s="755">
        <f t="shared" si="61"/>
        <v>6.2736765354501336E-3</v>
      </c>
      <c r="EQ34" s="755">
        <f t="shared" si="62"/>
        <v>4.8082288182858477</v>
      </c>
      <c r="ER34" s="755">
        <f t="shared" si="63"/>
        <v>2.488441402195217</v>
      </c>
      <c r="ES34" s="755">
        <f t="shared" si="64"/>
        <v>3.6139317338149963</v>
      </c>
      <c r="ET34" s="755">
        <f t="shared" si="65"/>
        <v>7.1063969855380291</v>
      </c>
      <c r="EU34" s="755">
        <f t="shared" si="66"/>
        <v>2.186011215142269</v>
      </c>
      <c r="EV34" s="755">
        <f t="shared" si="67"/>
        <v>3.121517586378197</v>
      </c>
      <c r="EW34" s="755">
        <f t="shared" si="68"/>
        <v>117.24928884869065</v>
      </c>
      <c r="EX34" s="755">
        <f t="shared" si="69"/>
        <v>19.006875007031347</v>
      </c>
      <c r="EY34" s="755">
        <f t="shared" si="99"/>
        <v>12.102418820051088</v>
      </c>
      <c r="EZ34" s="755">
        <f t="shared" si="70"/>
        <v>5.5010994636595854</v>
      </c>
      <c r="FA34" s="755">
        <f t="shared" si="71"/>
        <v>3.9113364294393853</v>
      </c>
      <c r="FB34" s="755">
        <f t="shared" si="72"/>
        <v>3.2360182729029772</v>
      </c>
      <c r="FC34" s="755"/>
      <c r="FD34" s="755"/>
      <c r="FE34" s="755"/>
      <c r="FF34" s="755"/>
      <c r="FG34" s="755">
        <f>VLOOKUP(TRUE,FK22:GI121,20,FALSE)</f>
        <v>2.3180686501906882</v>
      </c>
      <c r="FH34" s="756" t="s">
        <v>920</v>
      </c>
      <c r="FI34" s="755"/>
      <c r="FJ34" s="755"/>
      <c r="FK34" s="755" t="b">
        <f t="shared" si="100"/>
        <v>0</v>
      </c>
      <c r="FL34" s="755">
        <f t="shared" si="73"/>
        <v>39.580565164771791</v>
      </c>
      <c r="FM34" s="755">
        <v>13</v>
      </c>
      <c r="FN34" s="767">
        <f t="shared" si="101"/>
        <v>43.5</v>
      </c>
      <c r="FO34" s="673">
        <f t="shared" si="74"/>
        <v>3.9194348352282118</v>
      </c>
      <c r="FP34" s="673">
        <f t="shared" si="75"/>
        <v>2.2510196371999172</v>
      </c>
      <c r="FQ34" s="766" t="b">
        <f t="shared" si="76"/>
        <v>0</v>
      </c>
      <c r="FR34" s="673"/>
      <c r="FS34" s="767">
        <f t="shared" si="77"/>
        <v>3.9194348352282118</v>
      </c>
      <c r="FT34" s="766">
        <f t="shared" si="78"/>
        <v>2.9799420980563748E-2</v>
      </c>
      <c r="FU34" s="766">
        <f t="shared" si="79"/>
        <v>1.9931030073988688E-3</v>
      </c>
      <c r="FV34" s="766">
        <f t="shared" si="80"/>
        <v>5.3166415590377873</v>
      </c>
      <c r="FW34" s="766">
        <f t="shared" si="81"/>
        <v>2.6160420654730276</v>
      </c>
      <c r="FX34" s="766">
        <f t="shared" si="82"/>
        <v>5.4178543712713907</v>
      </c>
      <c r="FY34" s="766">
        <f t="shared" si="83"/>
        <v>10.65361130423002</v>
      </c>
      <c r="FZ34" s="766">
        <f t="shared" si="84"/>
        <v>2.5460171381987799</v>
      </c>
      <c r="GA34" s="766">
        <f t="shared" si="85"/>
        <v>3.6198787594674142</v>
      </c>
      <c r="GB34" s="766">
        <f t="shared" si="86"/>
        <v>37.249276225704683</v>
      </c>
      <c r="GC34" s="766">
        <f t="shared" si="87"/>
        <v>6.0383508017520873</v>
      </c>
      <c r="GD34" s="766">
        <f t="shared" si="88"/>
        <v>38.094699918512447</v>
      </c>
      <c r="GE34" s="766">
        <f t="shared" si="89"/>
        <v>17.315772690232929</v>
      </c>
      <c r="GF34" s="766">
        <f t="shared" si="90"/>
        <v>6.3068031381425724</v>
      </c>
      <c r="GG34" s="766">
        <f t="shared" si="91"/>
        <v>3.9194348352282118</v>
      </c>
    </row>
    <row r="35" spans="1:189" s="5" customFormat="1" ht="15.65" customHeight="1">
      <c r="A35" s="162"/>
      <c r="B35" s="169"/>
      <c r="C35" s="161"/>
      <c r="D35" s="793"/>
      <c r="E35" s="793"/>
      <c r="F35" s="793"/>
      <c r="G35" s="793"/>
      <c r="H35" s="793"/>
      <c r="I35" s="793"/>
      <c r="J35" s="793"/>
      <c r="K35" s="793"/>
      <c r="L35" s="793"/>
      <c r="M35" s="793"/>
      <c r="N35" s="1066"/>
      <c r="O35" s="1066"/>
      <c r="P35" s="1066"/>
      <c r="Q35" s="1066"/>
      <c r="R35" s="1066"/>
      <c r="S35" s="1066"/>
      <c r="T35" s="1066"/>
      <c r="U35" s="1066"/>
      <c r="V35" s="803"/>
      <c r="W35" s="837"/>
      <c r="X35" s="602"/>
      <c r="Y35" s="161"/>
      <c r="Z35" s="161"/>
      <c r="AA35" s="161"/>
      <c r="AB35" s="161"/>
      <c r="AC35" s="161"/>
      <c r="AD35" s="161"/>
      <c r="AE35" s="161"/>
      <c r="AF35" s="161"/>
      <c r="AG35" s="161"/>
      <c r="AH35" s="161"/>
      <c r="AI35" s="161"/>
      <c r="AJ35" s="161"/>
      <c r="AK35" s="168"/>
      <c r="AL35" s="161"/>
      <c r="AM35" s="161"/>
      <c r="BU35" s="755" t="e">
        <f>VLOOKUP(TRUE,BY22:CW121,21,FALSE)</f>
        <v>#N/A</v>
      </c>
      <c r="BV35" s="756" t="s">
        <v>921</v>
      </c>
      <c r="BY35" s="753" t="b">
        <f t="shared" si="94"/>
        <v>0</v>
      </c>
      <c r="BZ35" s="753">
        <f t="shared" si="19"/>
        <v>10.044634986773762</v>
      </c>
      <c r="CA35" s="751">
        <v>14</v>
      </c>
      <c r="CB35" s="752">
        <f t="shared" si="102"/>
        <v>14</v>
      </c>
      <c r="CC35" s="673">
        <f t="shared" si="20"/>
        <v>3.9553650132262379</v>
      </c>
      <c r="CD35" s="91">
        <f t="shared" si="9"/>
        <v>2</v>
      </c>
      <c r="CE35" s="752" t="b">
        <f t="shared" si="21"/>
        <v>0</v>
      </c>
      <c r="CF35" s="673"/>
      <c r="CG35" s="752">
        <f t="shared" si="22"/>
        <v>3.9553650132262379</v>
      </c>
      <c r="CH35" s="752">
        <f t="shared" si="23"/>
        <v>9.0515263998429921E-2</v>
      </c>
      <c r="CI35" s="752">
        <f t="shared" si="24"/>
        <v>6.0540184659440416E-3</v>
      </c>
      <c r="CJ35" s="755">
        <f t="shared" si="25"/>
        <v>4.8312802761480542</v>
      </c>
      <c r="CK35" s="755">
        <f t="shared" si="26"/>
        <v>2.494540312525221</v>
      </c>
      <c r="CL35" s="755">
        <f t="shared" si="27"/>
        <v>3.6462760096807698</v>
      </c>
      <c r="CM35" s="755">
        <f t="shared" si="28"/>
        <v>7.1699984261411425</v>
      </c>
      <c r="CN35" s="755">
        <f t="shared" si="29"/>
        <v>2.1964781383419827</v>
      </c>
      <c r="CO35" s="755">
        <f t="shared" si="30"/>
        <v>3.1359869180218745</v>
      </c>
      <c r="CP35" s="755">
        <f t="shared" si="31"/>
        <v>113.1440799980374</v>
      </c>
      <c r="CQ35" s="755">
        <f t="shared" si="32"/>
        <v>18.341393857693046</v>
      </c>
      <c r="CR35" s="755">
        <f t="shared" si="95"/>
        <v>12.541531117002444</v>
      </c>
      <c r="CS35" s="755">
        <f t="shared" si="33"/>
        <v>5.700695962273838</v>
      </c>
      <c r="CT35" s="755">
        <f t="shared" si="34"/>
        <v>3.9553650132262379</v>
      </c>
      <c r="CU35" s="755">
        <f t="shared" si="35"/>
        <v>3.2559974811318853</v>
      </c>
      <c r="CX35" s="755"/>
      <c r="CY35" s="755"/>
      <c r="CZ35" s="755">
        <f>VLOOKUP(TRUE,DD22:EB121,21,FALSE)</f>
        <v>0.84670436753651068</v>
      </c>
      <c r="DA35" s="756" t="s">
        <v>921</v>
      </c>
      <c r="DB35" s="755"/>
      <c r="DC35" s="755"/>
      <c r="DD35" s="755" t="b">
        <f t="shared" si="96"/>
        <v>0</v>
      </c>
      <c r="DE35" s="755">
        <f t="shared" si="36"/>
        <v>37.499996877291821</v>
      </c>
      <c r="DF35" s="755">
        <v>14</v>
      </c>
      <c r="DG35" s="755">
        <f t="shared" si="97"/>
        <v>43</v>
      </c>
      <c r="DH35" s="673">
        <f t="shared" si="37"/>
        <v>5.5000031227081774</v>
      </c>
      <c r="DI35" s="673">
        <f t="shared" si="38"/>
        <v>2</v>
      </c>
      <c r="DJ35" s="766" t="b">
        <f t="shared" si="39"/>
        <v>0</v>
      </c>
      <c r="DK35" s="673"/>
      <c r="DL35" s="766">
        <f t="shared" si="40"/>
        <v>5.5000031227081774</v>
      </c>
      <c r="DM35" s="766">
        <f t="shared" si="41"/>
        <v>3.0138956447537547E-2</v>
      </c>
      <c r="DN35" s="766">
        <f t="shared" si="42"/>
        <v>2.015812480874392E-3</v>
      </c>
      <c r="DO35" s="766">
        <f t="shared" si="43"/>
        <v>5.3135680953237223</v>
      </c>
      <c r="DP35" s="766">
        <f t="shared" si="44"/>
        <v>2.6153124601173952</v>
      </c>
      <c r="DQ35" s="766">
        <f t="shared" si="45"/>
        <v>4.8000741131401368</v>
      </c>
      <c r="DR35" s="766">
        <f t="shared" si="46"/>
        <v>9.4388147647629062</v>
      </c>
      <c r="DS35" s="766">
        <f t="shared" si="47"/>
        <v>2.5422141632326603</v>
      </c>
      <c r="DT35" s="766">
        <f t="shared" si="48"/>
        <v>3.6146073535470413</v>
      </c>
      <c r="DU35" s="766">
        <f t="shared" si="49"/>
        <v>37.673695559421937</v>
      </c>
      <c r="DV35" s="766">
        <f t="shared" si="50"/>
        <v>6.1071519459273977</v>
      </c>
      <c r="DW35" s="766">
        <f t="shared" si="51"/>
        <v>37.665537689602047</v>
      </c>
      <c r="DX35" s="766">
        <f t="shared" si="52"/>
        <v>17.120698949819111</v>
      </c>
      <c r="DY35" s="766">
        <f t="shared" si="53"/>
        <v>5.5000031227081774</v>
      </c>
      <c r="DZ35" s="766">
        <f t="shared" si="54"/>
        <v>3.9122565283001642</v>
      </c>
      <c r="EB35" s="755" t="e">
        <f>VLOOKUP(TRUE,EF22:FD121,21,FALSE)</f>
        <v>#N/A</v>
      </c>
      <c r="EC35" s="756" t="s">
        <v>921</v>
      </c>
      <c r="ED35" s="755"/>
      <c r="EE35" s="755"/>
      <c r="EF35" s="755" t="b">
        <f t="shared" si="98"/>
        <v>0</v>
      </c>
      <c r="EG35" s="755">
        <f t="shared" si="55"/>
        <v>10.044634986773762</v>
      </c>
      <c r="EH35" s="755">
        <v>14</v>
      </c>
      <c r="EI35" s="755">
        <f t="shared" si="103"/>
        <v>14</v>
      </c>
      <c r="EJ35" s="673">
        <f t="shared" si="56"/>
        <v>3.9553650132262379</v>
      </c>
      <c r="EK35" s="673">
        <f t="shared" si="57"/>
        <v>2.2510196371999172</v>
      </c>
      <c r="EL35" s="755" t="b">
        <f t="shared" si="58"/>
        <v>0</v>
      </c>
      <c r="EM35" s="673"/>
      <c r="EN35" s="755">
        <f t="shared" si="59"/>
        <v>3.9553650132262379</v>
      </c>
      <c r="EO35" s="755">
        <f t="shared" si="60"/>
        <v>9.0515263998429921E-2</v>
      </c>
      <c r="EP35" s="755">
        <f t="shared" si="61"/>
        <v>6.0540184659440416E-3</v>
      </c>
      <c r="EQ35" s="755">
        <f t="shared" si="62"/>
        <v>4.8312802761480542</v>
      </c>
      <c r="ER35" s="755">
        <f t="shared" si="63"/>
        <v>2.494540312525221</v>
      </c>
      <c r="ES35" s="755">
        <f t="shared" si="64"/>
        <v>3.6462760096807698</v>
      </c>
      <c r="ET35" s="755">
        <f t="shared" si="65"/>
        <v>7.1699984261411425</v>
      </c>
      <c r="EU35" s="755">
        <f t="shared" si="66"/>
        <v>2.1964781383419827</v>
      </c>
      <c r="EV35" s="755">
        <f t="shared" si="67"/>
        <v>3.1359869180218745</v>
      </c>
      <c r="EW35" s="755">
        <f t="shared" si="68"/>
        <v>113.1440799980374</v>
      </c>
      <c r="EX35" s="755">
        <f t="shared" si="69"/>
        <v>18.341393857693046</v>
      </c>
      <c r="EY35" s="755">
        <f t="shared" si="99"/>
        <v>12.541531117002444</v>
      </c>
      <c r="EZ35" s="755">
        <f t="shared" si="70"/>
        <v>5.700695962273838</v>
      </c>
      <c r="FA35" s="755">
        <f t="shared" si="71"/>
        <v>3.9553650132262379</v>
      </c>
      <c r="FB35" s="755">
        <f t="shared" si="72"/>
        <v>3.2559974811318853</v>
      </c>
      <c r="FC35" s="755"/>
      <c r="FD35" s="755"/>
      <c r="FE35" s="755"/>
      <c r="FF35" s="755"/>
      <c r="FG35" s="755">
        <f>VLOOKUP(TRUE,FK22:GI121,21,FALSE)</f>
        <v>1.0536675682684946</v>
      </c>
      <c r="FH35" s="756" t="s">
        <v>921</v>
      </c>
      <c r="FI35" s="755"/>
      <c r="FJ35" s="755"/>
      <c r="FK35" s="755" t="b">
        <f t="shared" si="100"/>
        <v>0</v>
      </c>
      <c r="FL35" s="755">
        <f t="shared" si="73"/>
        <v>39.087743471699838</v>
      </c>
      <c r="FM35" s="755">
        <v>14</v>
      </c>
      <c r="FN35" s="767">
        <f t="shared" si="101"/>
        <v>43</v>
      </c>
      <c r="FO35" s="673">
        <f t="shared" si="74"/>
        <v>3.9122565283001642</v>
      </c>
      <c r="FP35" s="673">
        <f t="shared" si="75"/>
        <v>2.2510196371999172</v>
      </c>
      <c r="FQ35" s="766" t="b">
        <f t="shared" si="76"/>
        <v>0</v>
      </c>
      <c r="FR35" s="673"/>
      <c r="FS35" s="767">
        <f t="shared" si="77"/>
        <v>3.9122565283001642</v>
      </c>
      <c r="FT35" s="766">
        <f t="shared" si="78"/>
        <v>3.0138956447537547E-2</v>
      </c>
      <c r="FU35" s="766">
        <f t="shared" si="79"/>
        <v>2.015812480874392E-3</v>
      </c>
      <c r="FV35" s="766">
        <f t="shared" si="80"/>
        <v>5.3135680953237223</v>
      </c>
      <c r="FW35" s="766">
        <f t="shared" si="81"/>
        <v>2.6153124601173952</v>
      </c>
      <c r="FX35" s="766">
        <f t="shared" si="82"/>
        <v>5.4025305443467122</v>
      </c>
      <c r="FY35" s="766">
        <f t="shared" si="83"/>
        <v>10.623478693686909</v>
      </c>
      <c r="FZ35" s="766">
        <f t="shared" si="84"/>
        <v>2.5422141632326603</v>
      </c>
      <c r="GA35" s="766">
        <f t="shared" si="85"/>
        <v>3.6146073535470413</v>
      </c>
      <c r="GB35" s="766">
        <f t="shared" si="86"/>
        <v>37.673695559421937</v>
      </c>
      <c r="GC35" s="766">
        <f t="shared" si="87"/>
        <v>6.1071519459273977</v>
      </c>
      <c r="GD35" s="766">
        <f t="shared" si="88"/>
        <v>37.665537689602047</v>
      </c>
      <c r="GE35" s="766">
        <f t="shared" si="89"/>
        <v>17.120698949819111</v>
      </c>
      <c r="GF35" s="766">
        <f t="shared" si="90"/>
        <v>6.2869573955298206</v>
      </c>
      <c r="GG35" s="766">
        <f t="shared" si="91"/>
        <v>3.9122565283001642</v>
      </c>
    </row>
    <row r="36" spans="1:189" s="5" customFormat="1" ht="81" customHeight="1" thickBot="1">
      <c r="A36" s="162"/>
      <c r="B36" s="169"/>
      <c r="C36" s="161"/>
      <c r="D36" s="161"/>
      <c r="E36" s="1091" t="s">
        <v>503</v>
      </c>
      <c r="F36" s="1091"/>
      <c r="G36" s="1091"/>
      <c r="H36" s="1091"/>
      <c r="I36" s="161"/>
      <c r="J36" s="161"/>
      <c r="K36" s="161"/>
      <c r="L36" s="643"/>
      <c r="M36" s="161"/>
      <c r="N36" s="1112" t="s">
        <v>1486</v>
      </c>
      <c r="O36" s="1112"/>
      <c r="P36" s="1112"/>
      <c r="Q36" s="1112"/>
      <c r="R36" s="161"/>
      <c r="S36" s="1059" t="s">
        <v>1727</v>
      </c>
      <c r="T36" s="1059"/>
      <c r="U36" s="1097" t="str">
        <f>IF(W40&gt;0.65,"LF value is considered too high, click here for more detail","")</f>
        <v/>
      </c>
      <c r="V36" s="1097"/>
      <c r="W36" s="836" t="s">
        <v>1664</v>
      </c>
      <c r="X36" s="1059" t="s">
        <v>1727</v>
      </c>
      <c r="Y36" s="1059"/>
      <c r="Z36" s="1059"/>
      <c r="AA36" s="161"/>
      <c r="AB36" s="161"/>
      <c r="AC36" s="161"/>
      <c r="AD36" s="161"/>
      <c r="AE36" s="161"/>
      <c r="AF36" s="161"/>
      <c r="AG36" s="161"/>
      <c r="AH36" s="161"/>
      <c r="AI36" s="161"/>
      <c r="AJ36" s="161"/>
      <c r="AK36" s="168"/>
      <c r="AL36" s="161"/>
      <c r="AM36" s="161"/>
      <c r="BU36" s="755" t="e">
        <f>VLOOKUP(TRUE,BY22:CW121,22,FALSE)</f>
        <v>#N/A</v>
      </c>
      <c r="BV36" s="756" t="s">
        <v>751</v>
      </c>
      <c r="BY36" s="753" t="b">
        <f t="shared" si="94"/>
        <v>0</v>
      </c>
      <c r="BZ36" s="753">
        <f t="shared" si="19"/>
        <v>10.5018168127168</v>
      </c>
      <c r="CA36" s="751">
        <v>15</v>
      </c>
      <c r="CB36" s="752">
        <f t="shared" si="102"/>
        <v>14.5</v>
      </c>
      <c r="CC36" s="673">
        <f t="shared" si="20"/>
        <v>3.9981831872832005</v>
      </c>
      <c r="CD36" s="91">
        <f t="shared" si="9"/>
        <v>2</v>
      </c>
      <c r="CE36" s="752" t="b">
        <f t="shared" si="21"/>
        <v>0</v>
      </c>
      <c r="CF36" s="673"/>
      <c r="CG36" s="752">
        <f t="shared" si="22"/>
        <v>3.9981831872832005</v>
      </c>
      <c r="CH36" s="752">
        <f t="shared" si="23"/>
        <v>8.7455404976697362E-2</v>
      </c>
      <c r="CI36" s="752">
        <f t="shared" si="24"/>
        <v>5.8493630056111225E-3</v>
      </c>
      <c r="CJ36" s="755">
        <f t="shared" si="25"/>
        <v>4.8530177678065138</v>
      </c>
      <c r="CK36" s="755">
        <f t="shared" si="26"/>
        <v>2.5002632095348067</v>
      </c>
      <c r="CL36" s="755">
        <f t="shared" si="27"/>
        <v>3.6777595498366664</v>
      </c>
      <c r="CM36" s="755">
        <f t="shared" si="28"/>
        <v>7.2319073251843875</v>
      </c>
      <c r="CN36" s="755">
        <f t="shared" si="29"/>
        <v>2.2066196894233276</v>
      </c>
      <c r="CO36" s="755">
        <f t="shared" si="30"/>
        <v>3.1500077018511607</v>
      </c>
      <c r="CP36" s="755">
        <f t="shared" si="31"/>
        <v>109.31925622087171</v>
      </c>
      <c r="CQ36" s="755">
        <f t="shared" si="32"/>
        <v>17.721364958836983</v>
      </c>
      <c r="CR36" s="755">
        <f t="shared" si="95"/>
        <v>12.980329806973918</v>
      </c>
      <c r="CS36" s="755">
        <f t="shared" si="33"/>
        <v>5.9001499122608712</v>
      </c>
      <c r="CT36" s="755">
        <f t="shared" si="34"/>
        <v>3.9981831872832005</v>
      </c>
      <c r="CU36" s="755">
        <f t="shared" si="35"/>
        <v>3.2753494668229228</v>
      </c>
      <c r="CX36" s="755"/>
      <c r="CY36" s="755"/>
      <c r="CZ36" s="755">
        <f>VLOOKUP(TRUE,DD22:EB121,22,FALSE)</f>
        <v>2.036481703304891</v>
      </c>
      <c r="DA36" s="756" t="s">
        <v>751</v>
      </c>
      <c r="DB36" s="755"/>
      <c r="DC36" s="755"/>
      <c r="DD36" s="755" t="b">
        <f t="shared" si="96"/>
        <v>0</v>
      </c>
      <c r="DE36" s="755">
        <f t="shared" si="36"/>
        <v>37.018092333314719</v>
      </c>
      <c r="DF36" s="755">
        <v>15</v>
      </c>
      <c r="DG36" s="755">
        <f t="shared" si="97"/>
        <v>42.5</v>
      </c>
      <c r="DH36" s="673">
        <f t="shared" si="37"/>
        <v>5.4819076666852808</v>
      </c>
      <c r="DI36" s="673">
        <f t="shared" si="38"/>
        <v>2</v>
      </c>
      <c r="DJ36" s="766" t="b">
        <f t="shared" si="39"/>
        <v>0</v>
      </c>
      <c r="DK36" s="673"/>
      <c r="DL36" s="766">
        <f t="shared" si="40"/>
        <v>5.4819076666852808</v>
      </c>
      <c r="DM36" s="766">
        <f t="shared" si="41"/>
        <v>3.0486400168614931E-2</v>
      </c>
      <c r="DN36" s="766">
        <f t="shared" si="42"/>
        <v>2.03905088962847E-3</v>
      </c>
      <c r="DO36" s="766">
        <f t="shared" si="43"/>
        <v>5.3104278239623754</v>
      </c>
      <c r="DP36" s="766">
        <f t="shared" si="44"/>
        <v>2.614566492823847</v>
      </c>
      <c r="DQ36" s="766">
        <f t="shared" si="45"/>
        <v>4.78633904652468</v>
      </c>
      <c r="DR36" s="766">
        <f t="shared" si="46"/>
        <v>9.4118062756210232</v>
      </c>
      <c r="DS36" s="766">
        <f t="shared" si="47"/>
        <v>2.5383719446092505</v>
      </c>
      <c r="DT36" s="766">
        <f t="shared" si="48"/>
        <v>3.609281688237731</v>
      </c>
      <c r="DU36" s="766">
        <f t="shared" si="49"/>
        <v>38.108000210768665</v>
      </c>
      <c r="DV36" s="766">
        <f t="shared" si="50"/>
        <v>6.1775555646117919</v>
      </c>
      <c r="DW36" s="766">
        <f t="shared" si="51"/>
        <v>37.236275641643743</v>
      </c>
      <c r="DX36" s="766">
        <f t="shared" si="52"/>
        <v>16.925579837110792</v>
      </c>
      <c r="DY36" s="766">
        <f t="shared" si="53"/>
        <v>5.4819076666852808</v>
      </c>
      <c r="DZ36" s="766">
        <f t="shared" si="54"/>
        <v>3.9050032446574341</v>
      </c>
      <c r="EB36" s="755" t="e">
        <f>VLOOKUP(TRUE,EF22:FD121,22,FALSE)</f>
        <v>#N/A</v>
      </c>
      <c r="EC36" s="756" t="s">
        <v>751</v>
      </c>
      <c r="ED36" s="755"/>
      <c r="EE36" s="755"/>
      <c r="EF36" s="755" t="b">
        <f t="shared" si="98"/>
        <v>0</v>
      </c>
      <c r="EG36" s="755">
        <f t="shared" si="55"/>
        <v>10.5018168127168</v>
      </c>
      <c r="EH36" s="755">
        <v>15</v>
      </c>
      <c r="EI36" s="755">
        <f t="shared" si="103"/>
        <v>14.5</v>
      </c>
      <c r="EJ36" s="673">
        <f t="shared" si="56"/>
        <v>3.9981831872832005</v>
      </c>
      <c r="EK36" s="673">
        <f t="shared" si="57"/>
        <v>2.2510196371999172</v>
      </c>
      <c r="EL36" s="755" t="b">
        <f t="shared" si="58"/>
        <v>0</v>
      </c>
      <c r="EM36" s="673"/>
      <c r="EN36" s="755">
        <f t="shared" si="59"/>
        <v>3.9981831872832005</v>
      </c>
      <c r="EO36" s="755">
        <f t="shared" si="60"/>
        <v>8.7455404976697362E-2</v>
      </c>
      <c r="EP36" s="755">
        <f t="shared" si="61"/>
        <v>5.8493630056111225E-3</v>
      </c>
      <c r="EQ36" s="755">
        <f t="shared" si="62"/>
        <v>4.8530177678065138</v>
      </c>
      <c r="ER36" s="755">
        <f t="shared" si="63"/>
        <v>2.5002632095348067</v>
      </c>
      <c r="ES36" s="755">
        <f t="shared" si="64"/>
        <v>3.6777595498366664</v>
      </c>
      <c r="ET36" s="755">
        <f t="shared" si="65"/>
        <v>7.2319073251843875</v>
      </c>
      <c r="EU36" s="755">
        <f t="shared" si="66"/>
        <v>2.2066196894233276</v>
      </c>
      <c r="EV36" s="755">
        <f t="shared" si="67"/>
        <v>3.1500077018511607</v>
      </c>
      <c r="EW36" s="755">
        <f t="shared" si="68"/>
        <v>109.31925622087171</v>
      </c>
      <c r="EX36" s="755">
        <f t="shared" si="69"/>
        <v>17.721364958836983</v>
      </c>
      <c r="EY36" s="755">
        <f t="shared" si="99"/>
        <v>12.980329806973918</v>
      </c>
      <c r="EZ36" s="755">
        <f t="shared" si="70"/>
        <v>5.9001499122608712</v>
      </c>
      <c r="FA36" s="755">
        <f t="shared" si="71"/>
        <v>3.9981831872832005</v>
      </c>
      <c r="FB36" s="755">
        <f t="shared" si="72"/>
        <v>3.2753494668229228</v>
      </c>
      <c r="FC36" s="755"/>
      <c r="FD36" s="755"/>
      <c r="FE36" s="755"/>
      <c r="FF36" s="755"/>
      <c r="FG36" s="755">
        <f>VLOOKUP(TRUE,FK22:GI121,22,FALSE)</f>
        <v>2.6375807084466252</v>
      </c>
      <c r="FH36" s="756" t="s">
        <v>751</v>
      </c>
      <c r="FI36" s="755"/>
      <c r="FJ36" s="755"/>
      <c r="FK36" s="755" t="b">
        <f t="shared" si="100"/>
        <v>0</v>
      </c>
      <c r="FL36" s="755">
        <f t="shared" si="73"/>
        <v>38.594996755342564</v>
      </c>
      <c r="FM36" s="755">
        <v>15</v>
      </c>
      <c r="FN36" s="767">
        <f t="shared" si="101"/>
        <v>42.5</v>
      </c>
      <c r="FO36" s="673">
        <f t="shared" si="74"/>
        <v>3.9050032446574341</v>
      </c>
      <c r="FP36" s="673">
        <f t="shared" si="75"/>
        <v>2.2510196371999172</v>
      </c>
      <c r="FQ36" s="766" t="b">
        <f t="shared" si="76"/>
        <v>0</v>
      </c>
      <c r="FR36" s="673"/>
      <c r="FS36" s="767">
        <f t="shared" si="77"/>
        <v>3.9050032446574341</v>
      </c>
      <c r="FT36" s="766">
        <f t="shared" si="78"/>
        <v>3.0486400168614931E-2</v>
      </c>
      <c r="FU36" s="766">
        <f t="shared" si="79"/>
        <v>2.03905088962847E-3</v>
      </c>
      <c r="FV36" s="766">
        <f t="shared" si="80"/>
        <v>5.3104278239623754</v>
      </c>
      <c r="FW36" s="766">
        <f t="shared" si="81"/>
        <v>2.614566492823847</v>
      </c>
      <c r="FX36" s="766">
        <f t="shared" si="82"/>
        <v>5.3870715920118917</v>
      </c>
      <c r="FY36" s="766">
        <f t="shared" si="83"/>
        <v>10.593080373972169</v>
      </c>
      <c r="FZ36" s="766">
        <f t="shared" si="84"/>
        <v>2.5383719446092505</v>
      </c>
      <c r="GA36" s="766">
        <f t="shared" si="85"/>
        <v>3.609281688237731</v>
      </c>
      <c r="GB36" s="766">
        <f t="shared" si="86"/>
        <v>38.108000210768665</v>
      </c>
      <c r="GC36" s="766">
        <f t="shared" si="87"/>
        <v>6.1775555646117919</v>
      </c>
      <c r="GD36" s="766">
        <f t="shared" si="88"/>
        <v>37.236275641643743</v>
      </c>
      <c r="GE36" s="766">
        <f t="shared" si="89"/>
        <v>16.925579837110792</v>
      </c>
      <c r="GF36" s="766">
        <f t="shared" si="90"/>
        <v>6.2669281326297455</v>
      </c>
      <c r="GG36" s="766">
        <f t="shared" si="91"/>
        <v>3.9050032446574341</v>
      </c>
    </row>
    <row r="37" spans="1:189" s="5" customFormat="1" ht="24" thickBot="1">
      <c r="A37" s="162"/>
      <c r="B37" s="1088" t="s">
        <v>1591</v>
      </c>
      <c r="C37" s="1089"/>
      <c r="D37" s="1090"/>
      <c r="E37" s="1085" t="s">
        <v>1708</v>
      </c>
      <c r="F37" s="1086"/>
      <c r="G37" s="1086"/>
      <c r="H37" s="1087"/>
      <c r="I37" s="1094" t="str">
        <f>IF(ISTEXT(G8),C8,IF(ISTEXT(G9),C9,IF(ISTEXT(G10),C10,IF(ISTEXT(G11),C11,IF(ISTEXT(G12),C12,"")))))</f>
        <v>Yelarbon bore</v>
      </c>
      <c r="J37" s="1095"/>
      <c r="K37" s="1096"/>
      <c r="L37" s="796" t="s">
        <v>901</v>
      </c>
      <c r="M37" s="797"/>
      <c r="N37" s="797"/>
      <c r="O37" s="797"/>
      <c r="P37" s="797"/>
      <c r="Q37" s="797"/>
      <c r="R37" s="779" t="s">
        <v>1611</v>
      </c>
      <c r="S37" s="798" t="s">
        <v>59</v>
      </c>
      <c r="T37" s="798" t="s">
        <v>605</v>
      </c>
      <c r="U37" s="802" t="s">
        <v>1528</v>
      </c>
      <c r="V37" s="801" t="str">
        <f>BA27</f>
        <v>High</v>
      </c>
      <c r="W37" s="792" t="s">
        <v>1611</v>
      </c>
      <c r="X37" s="798" t="s">
        <v>59</v>
      </c>
      <c r="Y37" s="798" t="s">
        <v>605</v>
      </c>
      <c r="Z37" s="799" t="s">
        <v>605</v>
      </c>
      <c r="AA37" s="161"/>
      <c r="AB37" s="161"/>
      <c r="AC37" s="161"/>
      <c r="AD37" s="161"/>
      <c r="AE37" s="161"/>
      <c r="AF37" s="161"/>
      <c r="AG37" s="161"/>
      <c r="AH37" s="161"/>
      <c r="AI37" s="161"/>
      <c r="AJ37" s="161"/>
      <c r="AK37" s="168"/>
      <c r="AL37" s="161"/>
      <c r="AM37" s="161"/>
      <c r="BU37" s="755" t="e">
        <f>VLOOKUP(TRUE,BY22:CW121,23,FALSE)</f>
        <v>#N/A</v>
      </c>
      <c r="BV37" s="758" t="s">
        <v>917</v>
      </c>
      <c r="BY37" s="753" t="b">
        <f t="shared" si="94"/>
        <v>0</v>
      </c>
      <c r="BZ37" s="753">
        <f t="shared" si="19"/>
        <v>10.960136001097728</v>
      </c>
      <c r="CA37" s="751">
        <v>16</v>
      </c>
      <c r="CB37" s="752">
        <f t="shared" si="102"/>
        <v>15</v>
      </c>
      <c r="CC37" s="673">
        <f t="shared" si="20"/>
        <v>4.0398639989022715</v>
      </c>
      <c r="CD37" s="91">
        <f t="shared" si="9"/>
        <v>2</v>
      </c>
      <c r="CE37" s="752" t="b">
        <f t="shared" si="21"/>
        <v>0</v>
      </c>
      <c r="CF37" s="673"/>
      <c r="CG37" s="752">
        <f t="shared" si="22"/>
        <v>4.0398639989022715</v>
      </c>
      <c r="CH37" s="752">
        <f t="shared" si="23"/>
        <v>8.4597565143875286E-2</v>
      </c>
      <c r="CI37" s="752">
        <f t="shared" si="24"/>
        <v>5.6582193867744657E-3</v>
      </c>
      <c r="CJ37" s="755">
        <f t="shared" si="25"/>
        <v>4.8735513285242043</v>
      </c>
      <c r="CK37" s="755">
        <f t="shared" si="26"/>
        <v>2.5056439951773526</v>
      </c>
      <c r="CL37" s="755">
        <f t="shared" si="27"/>
        <v>3.7084337918609251</v>
      </c>
      <c r="CM37" s="755">
        <f t="shared" si="28"/>
        <v>7.2922248289754013</v>
      </c>
      <c r="CN37" s="755">
        <f t="shared" si="29"/>
        <v>2.2164567065880454</v>
      </c>
      <c r="CO37" s="755">
        <f t="shared" si="30"/>
        <v>3.1636086251789455</v>
      </c>
      <c r="CP37" s="755">
        <f t="shared" si="31"/>
        <v>105.7469564298441</v>
      </c>
      <c r="CQ37" s="755">
        <f t="shared" si="32"/>
        <v>17.142271846354841</v>
      </c>
      <c r="CR37" s="755">
        <f t="shared" si="95"/>
        <v>13.418825920927659</v>
      </c>
      <c r="CS37" s="755">
        <f t="shared" si="33"/>
        <v>6.0994663276943903</v>
      </c>
      <c r="CT37" s="755">
        <f t="shared" si="34"/>
        <v>4.0398639989022715</v>
      </c>
      <c r="CU37" s="755">
        <f t="shared" si="35"/>
        <v>3.294114549737936</v>
      </c>
      <c r="CX37" s="755"/>
      <c r="CY37" s="755"/>
      <c r="CZ37" s="755">
        <f>VLOOKUP(TRUE,DD22:EB121,23,FALSE)</f>
        <v>2.2894140657605164</v>
      </c>
      <c r="DA37" s="758" t="s">
        <v>917</v>
      </c>
      <c r="DB37" s="755"/>
      <c r="DC37" s="755"/>
      <c r="DD37" s="755" t="b">
        <f t="shared" si="96"/>
        <v>0</v>
      </c>
      <c r="DE37" s="755">
        <f t="shared" si="36"/>
        <v>36.536356265111891</v>
      </c>
      <c r="DF37" s="755">
        <v>16</v>
      </c>
      <c r="DG37" s="755">
        <f t="shared" si="97"/>
        <v>42</v>
      </c>
      <c r="DH37" s="673">
        <f t="shared" si="37"/>
        <v>5.4636437348881115</v>
      </c>
      <c r="DI37" s="673">
        <f t="shared" si="38"/>
        <v>2</v>
      </c>
      <c r="DJ37" s="766" t="b">
        <f t="shared" si="39"/>
        <v>0</v>
      </c>
      <c r="DK37" s="673"/>
      <c r="DL37" s="766">
        <f t="shared" si="40"/>
        <v>5.4636437348881115</v>
      </c>
      <c r="DM37" s="766">
        <f t="shared" si="41"/>
        <v>3.08420326653885E-2</v>
      </c>
      <c r="DN37" s="766">
        <f t="shared" si="42"/>
        <v>2.0628369960535068E-3</v>
      </c>
      <c r="DO37" s="766">
        <f t="shared" si="43"/>
        <v>5.3072185330563153</v>
      </c>
      <c r="DP37" s="766">
        <f t="shared" si="44"/>
        <v>2.6138036047739868</v>
      </c>
      <c r="DQ37" s="766">
        <f t="shared" si="45"/>
        <v>4.7724814328582967</v>
      </c>
      <c r="DR37" s="766">
        <f t="shared" si="46"/>
        <v>9.3845568112595092</v>
      </c>
      <c r="DS37" s="766">
        <f t="shared" si="47"/>
        <v>2.5344896079565649</v>
      </c>
      <c r="DT37" s="766">
        <f t="shared" si="48"/>
        <v>3.6039005562453554</v>
      </c>
      <c r="DU37" s="766">
        <f t="shared" si="49"/>
        <v>38.552540831735627</v>
      </c>
      <c r="DV37" s="766">
        <f t="shared" si="50"/>
        <v>6.2496185007816729</v>
      </c>
      <c r="DW37" s="766">
        <f t="shared" si="51"/>
        <v>36.806912576613101</v>
      </c>
      <c r="DX37" s="766">
        <f t="shared" si="52"/>
        <v>16.730414807551409</v>
      </c>
      <c r="DY37" s="766">
        <f t="shared" si="53"/>
        <v>5.4636437348881115</v>
      </c>
      <c r="DZ37" s="766">
        <f t="shared" si="54"/>
        <v>3.8976733059356561</v>
      </c>
      <c r="EB37" s="755" t="e">
        <f>VLOOKUP(TRUE,EF22:FD121,23,FALSE)</f>
        <v>#N/A</v>
      </c>
      <c r="EC37" s="758" t="s">
        <v>917</v>
      </c>
      <c r="ED37" s="755"/>
      <c r="EE37" s="755"/>
      <c r="EF37" s="755" t="b">
        <f t="shared" si="98"/>
        <v>0</v>
      </c>
      <c r="EG37" s="755">
        <f t="shared" si="55"/>
        <v>10.960136001097728</v>
      </c>
      <c r="EH37" s="755">
        <v>16</v>
      </c>
      <c r="EI37" s="755">
        <f t="shared" si="103"/>
        <v>15</v>
      </c>
      <c r="EJ37" s="673">
        <f t="shared" si="56"/>
        <v>4.0398639989022715</v>
      </c>
      <c r="EK37" s="673">
        <f t="shared" si="57"/>
        <v>2.2510196371999172</v>
      </c>
      <c r="EL37" s="755" t="b">
        <f t="shared" si="58"/>
        <v>0</v>
      </c>
      <c r="EM37" s="673"/>
      <c r="EN37" s="755">
        <f t="shared" si="59"/>
        <v>4.0398639989022715</v>
      </c>
      <c r="EO37" s="755">
        <f t="shared" si="60"/>
        <v>8.4597565143875286E-2</v>
      </c>
      <c r="EP37" s="755">
        <f t="shared" si="61"/>
        <v>5.6582193867744657E-3</v>
      </c>
      <c r="EQ37" s="755">
        <f t="shared" si="62"/>
        <v>4.8735513285242043</v>
      </c>
      <c r="ER37" s="755">
        <f t="shared" si="63"/>
        <v>2.5056439951773526</v>
      </c>
      <c r="ES37" s="755">
        <f t="shared" si="64"/>
        <v>3.7084337918609251</v>
      </c>
      <c r="ET37" s="755">
        <f t="shared" si="65"/>
        <v>7.2922248289754013</v>
      </c>
      <c r="EU37" s="755">
        <f t="shared" si="66"/>
        <v>2.2164567065880454</v>
      </c>
      <c r="EV37" s="755">
        <f t="shared" si="67"/>
        <v>3.1636086251789455</v>
      </c>
      <c r="EW37" s="755">
        <f t="shared" si="68"/>
        <v>105.7469564298441</v>
      </c>
      <c r="EX37" s="755">
        <f t="shared" si="69"/>
        <v>17.142271846354841</v>
      </c>
      <c r="EY37" s="755">
        <f t="shared" si="99"/>
        <v>13.418825920927659</v>
      </c>
      <c r="EZ37" s="755">
        <f t="shared" si="70"/>
        <v>6.0994663276943903</v>
      </c>
      <c r="FA37" s="755">
        <f t="shared" si="71"/>
        <v>4.0398639989022715</v>
      </c>
      <c r="FB37" s="755">
        <f t="shared" si="72"/>
        <v>3.294114549737936</v>
      </c>
      <c r="FC37" s="755"/>
      <c r="FD37" s="755"/>
      <c r="FE37" s="755"/>
      <c r="FF37" s="755"/>
      <c r="FG37" s="755">
        <f>VLOOKUP(TRUE,FK22:GI121,23,FALSE)</f>
        <v>2.3902646000196421</v>
      </c>
      <c r="FH37" s="758" t="s">
        <v>917</v>
      </c>
      <c r="FI37" s="755"/>
      <c r="FJ37" s="755"/>
      <c r="FK37" s="755" t="b">
        <f t="shared" si="100"/>
        <v>0</v>
      </c>
      <c r="FL37" s="755">
        <f t="shared" si="73"/>
        <v>38.102326694064345</v>
      </c>
      <c r="FM37" s="755">
        <v>16</v>
      </c>
      <c r="FN37" s="767">
        <f t="shared" si="101"/>
        <v>42</v>
      </c>
      <c r="FO37" s="673">
        <f t="shared" si="74"/>
        <v>3.8976733059356561</v>
      </c>
      <c r="FP37" s="673">
        <f t="shared" si="75"/>
        <v>2.2510196371999172</v>
      </c>
      <c r="FQ37" s="766" t="b">
        <f t="shared" si="76"/>
        <v>0</v>
      </c>
      <c r="FR37" s="673"/>
      <c r="FS37" s="767">
        <f t="shared" si="77"/>
        <v>3.8976733059356561</v>
      </c>
      <c r="FT37" s="766">
        <f t="shared" si="78"/>
        <v>3.08420326653885E-2</v>
      </c>
      <c r="FU37" s="766">
        <f t="shared" si="79"/>
        <v>2.0628369960535068E-3</v>
      </c>
      <c r="FV37" s="766">
        <f t="shared" si="80"/>
        <v>5.3072185330563153</v>
      </c>
      <c r="FW37" s="766">
        <f t="shared" si="81"/>
        <v>2.6138036047739868</v>
      </c>
      <c r="FX37" s="766">
        <f t="shared" si="82"/>
        <v>5.3714747117680117</v>
      </c>
      <c r="FY37" s="766">
        <f t="shared" si="83"/>
        <v>10.562410834281696</v>
      </c>
      <c r="FZ37" s="766">
        <f t="shared" si="84"/>
        <v>2.5344896079565649</v>
      </c>
      <c r="GA37" s="766">
        <f t="shared" si="85"/>
        <v>3.6039005562453554</v>
      </c>
      <c r="GB37" s="766">
        <f t="shared" si="86"/>
        <v>38.552540831735627</v>
      </c>
      <c r="GC37" s="766">
        <f t="shared" si="87"/>
        <v>6.2496185007816729</v>
      </c>
      <c r="GD37" s="766">
        <f t="shared" si="88"/>
        <v>36.806912576613101</v>
      </c>
      <c r="GE37" s="766">
        <f t="shared" si="89"/>
        <v>16.730414807551409</v>
      </c>
      <c r="GF37" s="766">
        <f t="shared" si="90"/>
        <v>6.2467114860887936</v>
      </c>
      <c r="GG37" s="766">
        <f t="shared" si="91"/>
        <v>3.8976733059356561</v>
      </c>
    </row>
    <row r="38" spans="1:189" s="5" customFormat="1" ht="16.5" thickTop="1" thickBot="1">
      <c r="A38" s="162"/>
      <c r="B38" s="284"/>
      <c r="C38" s="285"/>
      <c r="D38" s="285"/>
      <c r="E38" s="285"/>
      <c r="F38" s="285"/>
      <c r="G38" s="285"/>
      <c r="H38" s="1101" t="s">
        <v>560</v>
      </c>
      <c r="I38" s="1101"/>
      <c r="J38" s="285"/>
      <c r="K38" s="285"/>
      <c r="L38" s="284"/>
      <c r="M38" s="285"/>
      <c r="N38" s="285"/>
      <c r="O38" s="1109" t="s">
        <v>914</v>
      </c>
      <c r="P38" s="1110"/>
      <c r="Q38" s="1111"/>
      <c r="R38" s="787">
        <f>IF(ISNUMBER(BD78),BD78,"")</f>
        <v>1.0833430011852809</v>
      </c>
      <c r="S38" s="812">
        <f>IF(ISNUMBER(CZ144),CZ144,"")</f>
        <v>1.710674995054096</v>
      </c>
      <c r="T38" s="813">
        <f>IF(ISNUMBER(FG144),FG144,"")</f>
        <v>1.7394662444255247</v>
      </c>
      <c r="U38" s="788" t="s">
        <v>13</v>
      </c>
      <c r="V38" s="789"/>
      <c r="W38" s="790">
        <f>IF(ISNUMBER(AR78),AR78,"")</f>
        <v>2.7165051980364445E-2</v>
      </c>
      <c r="X38" s="824"/>
      <c r="Y38" s="824"/>
      <c r="Z38" s="825"/>
      <c r="AA38" s="161"/>
      <c r="AB38" s="161"/>
      <c r="AC38" s="161"/>
      <c r="AD38" s="161"/>
      <c r="AE38" s="161"/>
      <c r="AF38" s="161"/>
      <c r="AG38" s="161"/>
      <c r="AH38" s="161"/>
      <c r="AI38" s="161"/>
      <c r="AJ38" s="161"/>
      <c r="AK38" s="168"/>
      <c r="AL38" s="161"/>
      <c r="AM38" s="161"/>
      <c r="BY38" s="753" t="b">
        <f t="shared" si="94"/>
        <v>0</v>
      </c>
      <c r="BZ38" s="753">
        <f t="shared" si="19"/>
        <v>11.419526167902234</v>
      </c>
      <c r="CA38" s="751">
        <v>17</v>
      </c>
      <c r="CB38" s="752">
        <f t="shared" si="102"/>
        <v>15.5</v>
      </c>
      <c r="CC38" s="673">
        <f t="shared" si="20"/>
        <v>4.0804738320977672</v>
      </c>
      <c r="CD38" s="91">
        <f t="shared" si="9"/>
        <v>2</v>
      </c>
      <c r="CE38" s="752" t="b">
        <f t="shared" si="21"/>
        <v>0</v>
      </c>
      <c r="CF38" s="673"/>
      <c r="CG38" s="752">
        <f t="shared" si="22"/>
        <v>4.0804738320977672</v>
      </c>
      <c r="CH38" s="752">
        <f t="shared" si="23"/>
        <v>8.1922318183252116E-2</v>
      </c>
      <c r="CI38" s="752">
        <f t="shared" si="24"/>
        <v>5.4792883006224737E-3</v>
      </c>
      <c r="CJ38" s="755">
        <f t="shared" si="25"/>
        <v>4.8929789765307667</v>
      </c>
      <c r="CK38" s="755">
        <f t="shared" si="26"/>
        <v>2.5107126022183044</v>
      </c>
      <c r="CL38" s="755">
        <f t="shared" si="27"/>
        <v>3.7383455062818687</v>
      </c>
      <c r="CM38" s="755">
        <f t="shared" si="28"/>
        <v>7.351042906584432</v>
      </c>
      <c r="CN38" s="755">
        <f t="shared" si="29"/>
        <v>2.2260080520846213</v>
      </c>
      <c r="CO38" s="755">
        <f t="shared" si="30"/>
        <v>3.1768156575179667</v>
      </c>
      <c r="CP38" s="755">
        <f t="shared" si="31"/>
        <v>102.40289772906515</v>
      </c>
      <c r="CQ38" s="755">
        <f t="shared" si="32"/>
        <v>16.60017810432878</v>
      </c>
      <c r="CR38" s="755">
        <f t="shared" si="95"/>
        <v>13.857029746895956</v>
      </c>
      <c r="CS38" s="755">
        <f t="shared" si="33"/>
        <v>6.2986498849527068</v>
      </c>
      <c r="CT38" s="755">
        <f t="shared" si="34"/>
        <v>4.0804738320977672</v>
      </c>
      <c r="CU38" s="755">
        <f t="shared" si="35"/>
        <v>3.3123292179782458</v>
      </c>
      <c r="CX38" s="755"/>
      <c r="CY38" s="755"/>
      <c r="CZ38" s="755"/>
      <c r="DA38" s="755"/>
      <c r="DB38" s="755"/>
      <c r="DC38" s="755"/>
      <c r="DD38" s="755" t="b">
        <f t="shared" si="96"/>
        <v>0</v>
      </c>
      <c r="DE38" s="755">
        <f t="shared" si="36"/>
        <v>36.054792255839686</v>
      </c>
      <c r="DF38" s="755">
        <v>17</v>
      </c>
      <c r="DG38" s="755">
        <f t="shared" si="97"/>
        <v>41.5</v>
      </c>
      <c r="DH38" s="673">
        <f t="shared" si="37"/>
        <v>5.4452077441603102</v>
      </c>
      <c r="DI38" s="673">
        <f t="shared" si="38"/>
        <v>2</v>
      </c>
      <c r="DJ38" s="766" t="b">
        <f t="shared" si="39"/>
        <v>0</v>
      </c>
      <c r="DK38" s="673"/>
      <c r="DL38" s="766">
        <f t="shared" si="40"/>
        <v>5.4452077441603102</v>
      </c>
      <c r="DM38" s="766">
        <f t="shared" si="41"/>
        <v>3.1206147909363543E-2</v>
      </c>
      <c r="DN38" s="766">
        <f t="shared" si="42"/>
        <v>2.0871904621252058E-3</v>
      </c>
      <c r="DO38" s="766">
        <f t="shared" si="43"/>
        <v>5.3039379117216878</v>
      </c>
      <c r="DP38" s="766">
        <f t="shared" si="44"/>
        <v>2.6130232113538394</v>
      </c>
      <c r="DQ38" s="766">
        <f t="shared" si="45"/>
        <v>4.758498700120593</v>
      </c>
      <c r="DR38" s="766">
        <f t="shared" si="46"/>
        <v>9.3570613140847723</v>
      </c>
      <c r="DS38" s="766">
        <f t="shared" si="47"/>
        <v>2.5305662487171685</v>
      </c>
      <c r="DT38" s="766">
        <f t="shared" si="48"/>
        <v>3.5984627086358567</v>
      </c>
      <c r="DU38" s="766">
        <f t="shared" si="49"/>
        <v>39.007684886704432</v>
      </c>
      <c r="DV38" s="766">
        <f t="shared" si="50"/>
        <v>6.323400322811735</v>
      </c>
      <c r="DW38" s="766">
        <f t="shared" si="51"/>
        <v>36.377447267670554</v>
      </c>
      <c r="DX38" s="766">
        <f t="shared" si="52"/>
        <v>16.535203303486615</v>
      </c>
      <c r="DY38" s="766">
        <f t="shared" si="53"/>
        <v>5.4452077441603102</v>
      </c>
      <c r="DZ38" s="766">
        <f t="shared" si="54"/>
        <v>3.8902649756669589</v>
      </c>
      <c r="EB38" s="755"/>
      <c r="EC38" s="755"/>
      <c r="ED38" s="755"/>
      <c r="EE38" s="755"/>
      <c r="EF38" s="755" t="b">
        <f t="shared" si="98"/>
        <v>0</v>
      </c>
      <c r="EG38" s="755">
        <f t="shared" si="55"/>
        <v>11.419526167902234</v>
      </c>
      <c r="EH38" s="755">
        <v>17</v>
      </c>
      <c r="EI38" s="755">
        <f t="shared" si="103"/>
        <v>15.5</v>
      </c>
      <c r="EJ38" s="673">
        <f t="shared" si="56"/>
        <v>4.0804738320977672</v>
      </c>
      <c r="EK38" s="673">
        <f t="shared" si="57"/>
        <v>2.2510196371999172</v>
      </c>
      <c r="EL38" s="755" t="b">
        <f t="shared" si="58"/>
        <v>0</v>
      </c>
      <c r="EM38" s="673"/>
      <c r="EN38" s="755">
        <f t="shared" si="59"/>
        <v>4.0804738320977672</v>
      </c>
      <c r="EO38" s="755">
        <f t="shared" si="60"/>
        <v>8.1922318183252116E-2</v>
      </c>
      <c r="EP38" s="755">
        <f t="shared" si="61"/>
        <v>5.4792883006224737E-3</v>
      </c>
      <c r="EQ38" s="755">
        <f t="shared" si="62"/>
        <v>4.8929789765307667</v>
      </c>
      <c r="ER38" s="755">
        <f t="shared" si="63"/>
        <v>2.5107126022183044</v>
      </c>
      <c r="ES38" s="755">
        <f t="shared" si="64"/>
        <v>3.7383455062818687</v>
      </c>
      <c r="ET38" s="755">
        <f t="shared" si="65"/>
        <v>7.351042906584432</v>
      </c>
      <c r="EU38" s="755">
        <f t="shared" si="66"/>
        <v>2.2260080520846213</v>
      </c>
      <c r="EV38" s="755">
        <f t="shared" si="67"/>
        <v>3.1768156575179667</v>
      </c>
      <c r="EW38" s="755">
        <f t="shared" si="68"/>
        <v>102.40289772906515</v>
      </c>
      <c r="EX38" s="755">
        <f t="shared" si="69"/>
        <v>16.60017810432878</v>
      </c>
      <c r="EY38" s="755">
        <f t="shared" si="99"/>
        <v>13.857029746895956</v>
      </c>
      <c r="EZ38" s="755">
        <f t="shared" si="70"/>
        <v>6.2986498849527068</v>
      </c>
      <c r="FA38" s="755">
        <f t="shared" si="71"/>
        <v>4.0804738320977672</v>
      </c>
      <c r="FB38" s="755">
        <f t="shared" si="72"/>
        <v>3.3123292179782458</v>
      </c>
      <c r="FC38" s="755"/>
      <c r="FD38" s="755"/>
      <c r="FE38" s="755"/>
      <c r="FF38" s="755"/>
      <c r="FG38" s="755"/>
      <c r="FH38" s="755"/>
      <c r="FI38" s="755"/>
      <c r="FJ38" s="755"/>
      <c r="FK38" s="755" t="b">
        <f t="shared" si="100"/>
        <v>0</v>
      </c>
      <c r="FL38" s="755">
        <f t="shared" si="73"/>
        <v>37.609735024333041</v>
      </c>
      <c r="FM38" s="755">
        <v>17</v>
      </c>
      <c r="FN38" s="767">
        <f t="shared" si="101"/>
        <v>41.5</v>
      </c>
      <c r="FO38" s="673">
        <f t="shared" si="74"/>
        <v>3.8902649756669589</v>
      </c>
      <c r="FP38" s="673">
        <f t="shared" si="75"/>
        <v>2.2510196371999172</v>
      </c>
      <c r="FQ38" s="766" t="b">
        <f t="shared" si="76"/>
        <v>0</v>
      </c>
      <c r="FR38" s="673"/>
      <c r="FS38" s="767">
        <f t="shared" si="77"/>
        <v>3.8902649756669589</v>
      </c>
      <c r="FT38" s="766">
        <f t="shared" si="78"/>
        <v>3.1206147909363543E-2</v>
      </c>
      <c r="FU38" s="766">
        <f t="shared" si="79"/>
        <v>2.0871904621252058E-3</v>
      </c>
      <c r="FV38" s="766">
        <f t="shared" si="80"/>
        <v>5.3039379117216878</v>
      </c>
      <c r="FW38" s="766">
        <f t="shared" si="81"/>
        <v>2.6130232113538394</v>
      </c>
      <c r="FX38" s="766">
        <f t="shared" si="82"/>
        <v>5.3557370087808671</v>
      </c>
      <c r="FY38" s="766">
        <f t="shared" si="83"/>
        <v>10.531464382244241</v>
      </c>
      <c r="FZ38" s="766">
        <f t="shared" si="84"/>
        <v>2.5305662487171685</v>
      </c>
      <c r="GA38" s="766">
        <f t="shared" si="85"/>
        <v>3.5984627086358567</v>
      </c>
      <c r="GB38" s="766">
        <f t="shared" si="86"/>
        <v>39.007684886704432</v>
      </c>
      <c r="GC38" s="766">
        <f t="shared" si="87"/>
        <v>6.323400322811735</v>
      </c>
      <c r="GD38" s="766">
        <f t="shared" si="88"/>
        <v>36.377447267670554</v>
      </c>
      <c r="GE38" s="766">
        <f t="shared" si="89"/>
        <v>16.535203303486615</v>
      </c>
      <c r="GF38" s="766">
        <f t="shared" si="90"/>
        <v>6.2263034642063122</v>
      </c>
      <c r="GG38" s="766">
        <f t="shared" si="91"/>
        <v>3.8902649756669589</v>
      </c>
    </row>
    <row r="39" spans="1:189" s="5" customFormat="1" ht="16" thickBot="1">
      <c r="A39" s="162"/>
      <c r="B39" s="286" t="s">
        <v>465</v>
      </c>
      <c r="C39" s="287"/>
      <c r="D39" s="288" t="s">
        <v>110</v>
      </c>
      <c r="E39" s="1092" t="s">
        <v>904</v>
      </c>
      <c r="F39" s="1093"/>
      <c r="G39" s="288" t="s">
        <v>110</v>
      </c>
      <c r="H39" s="289" t="s">
        <v>67</v>
      </c>
      <c r="I39" s="289" t="s">
        <v>74</v>
      </c>
      <c r="J39" s="288" t="s">
        <v>110</v>
      </c>
      <c r="K39" s="290" t="s">
        <v>110</v>
      </c>
      <c r="L39" s="403" t="s">
        <v>67</v>
      </c>
      <c r="M39" s="646" t="s">
        <v>67</v>
      </c>
      <c r="N39" s="290"/>
      <c r="O39" s="1056" t="s">
        <v>915</v>
      </c>
      <c r="P39" s="1057"/>
      <c r="Q39" s="1058"/>
      <c r="R39" s="782">
        <f>IF(ISNUMBER(BD79),BD79,"")</f>
        <v>0.6869744725758623</v>
      </c>
      <c r="S39" s="852">
        <f>IF(ISNUMBER(CZ145),CZ145,"")</f>
        <v>0.89553084677843908</v>
      </c>
      <c r="T39" s="853">
        <f>IF(ISNUMBER(FG145),FG145,"")</f>
        <v>0.90329199564644824</v>
      </c>
      <c r="U39" s="756" t="s">
        <v>1056</v>
      </c>
      <c r="V39" s="757"/>
      <c r="W39" s="804">
        <f>IF(ISNUMBER(AR79),AR79,"")</f>
        <v>24.557206990249458</v>
      </c>
      <c r="X39" s="816"/>
      <c r="Y39" s="816"/>
      <c r="Z39" s="817"/>
      <c r="AA39" s="161"/>
      <c r="AB39" s="161"/>
      <c r="AC39" s="161"/>
      <c r="AD39" s="161"/>
      <c r="AE39" s="161"/>
      <c r="AF39" s="161"/>
      <c r="AG39" s="161"/>
      <c r="AH39" s="161"/>
      <c r="AI39" s="161"/>
      <c r="AJ39" s="161"/>
      <c r="AK39" s="168"/>
      <c r="AL39" s="161"/>
      <c r="AM39" s="161"/>
      <c r="AX39" s="737" t="s">
        <v>1584</v>
      </c>
      <c r="AY39" s="737"/>
      <c r="BY39" s="753" t="b">
        <f t="shared" si="94"/>
        <v>0</v>
      </c>
      <c r="BZ39" s="753">
        <f t="shared" si="19"/>
        <v>11.879926791731734</v>
      </c>
      <c r="CA39" s="751">
        <v>18</v>
      </c>
      <c r="CB39" s="752">
        <f t="shared" si="102"/>
        <v>16</v>
      </c>
      <c r="CC39" s="673">
        <f t="shared" si="20"/>
        <v>4.1200732082682654</v>
      </c>
      <c r="CD39" s="91">
        <f t="shared" si="9"/>
        <v>2</v>
      </c>
      <c r="CE39" s="752" t="b">
        <f t="shared" si="21"/>
        <v>0</v>
      </c>
      <c r="CF39" s="673"/>
      <c r="CG39" s="752">
        <f t="shared" si="22"/>
        <v>4.1200732082682654</v>
      </c>
      <c r="CH39" s="752">
        <f t="shared" si="23"/>
        <v>7.9412654702472524E-2</v>
      </c>
      <c r="CI39" s="752">
        <f t="shared" si="24"/>
        <v>5.3114320917933356E-3</v>
      </c>
      <c r="CJ39" s="755">
        <f t="shared" si="25"/>
        <v>4.9113883171627126</v>
      </c>
      <c r="CK39" s="755">
        <f t="shared" si="26"/>
        <v>2.5154955599517086</v>
      </c>
      <c r="CL39" s="755">
        <f t="shared" si="27"/>
        <v>3.7675373553903144</v>
      </c>
      <c r="CM39" s="755">
        <f t="shared" si="28"/>
        <v>7.4084454486871154</v>
      </c>
      <c r="CN39" s="755">
        <f t="shared" si="29"/>
        <v>2.2352908565221874</v>
      </c>
      <c r="CO39" s="755">
        <f t="shared" si="30"/>
        <v>3.1896523864008186</v>
      </c>
      <c r="CP39" s="755">
        <f t="shared" si="31"/>
        <v>99.265818378090657</v>
      </c>
      <c r="CQ39" s="755">
        <f t="shared" si="32"/>
        <v>16.091637065857682</v>
      </c>
      <c r="CR39" s="755">
        <f t="shared" si="95"/>
        <v>14.294950902386285</v>
      </c>
      <c r="CS39" s="755">
        <f t="shared" si="33"/>
        <v>6.4977049556301285</v>
      </c>
      <c r="CT39" s="755">
        <f t="shared" si="34"/>
        <v>4.1200732082682654</v>
      </c>
      <c r="CU39" s="755">
        <f t="shared" si="35"/>
        <v>3.3300266024670675</v>
      </c>
      <c r="CX39" s="755"/>
      <c r="CY39" s="755"/>
      <c r="CZ39" s="755"/>
      <c r="DA39" s="755"/>
      <c r="DB39" s="755"/>
      <c r="DC39" s="755"/>
      <c r="DD39" s="755" t="b">
        <f t="shared" si="96"/>
        <v>0</v>
      </c>
      <c r="DE39" s="755">
        <f t="shared" si="36"/>
        <v>35.573404009022539</v>
      </c>
      <c r="DF39" s="755">
        <v>18</v>
      </c>
      <c r="DG39" s="755">
        <f t="shared" si="97"/>
        <v>41</v>
      </c>
      <c r="DH39" s="673">
        <f t="shared" si="37"/>
        <v>5.4265959909774617</v>
      </c>
      <c r="DI39" s="673">
        <f t="shared" si="38"/>
        <v>2</v>
      </c>
      <c r="DJ39" s="766" t="b">
        <f t="shared" si="39"/>
        <v>0</v>
      </c>
      <c r="DK39" s="673"/>
      <c r="DL39" s="766">
        <f t="shared" si="40"/>
        <v>5.4265959909774617</v>
      </c>
      <c r="DM39" s="766">
        <f t="shared" si="41"/>
        <v>3.1579054138695779E-2</v>
      </c>
      <c r="DN39" s="766">
        <f t="shared" si="42"/>
        <v>2.1121319040292154E-3</v>
      </c>
      <c r="DO39" s="766">
        <f t="shared" si="43"/>
        <v>5.3005835444780685</v>
      </c>
      <c r="DP39" s="766">
        <f t="shared" si="44"/>
        <v>2.6122247006459145</v>
      </c>
      <c r="DQ39" s="766">
        <f t="shared" si="45"/>
        <v>4.7443881905238108</v>
      </c>
      <c r="DR39" s="766">
        <f t="shared" si="46"/>
        <v>9.3293145578511876</v>
      </c>
      <c r="DS39" s="766">
        <f t="shared" si="47"/>
        <v>2.5266009307276791</v>
      </c>
      <c r="DT39" s="766">
        <f t="shared" si="48"/>
        <v>3.5929668528771082</v>
      </c>
      <c r="DU39" s="766">
        <f t="shared" si="49"/>
        <v>39.473817673369723</v>
      </c>
      <c r="DV39" s="766">
        <f t="shared" si="50"/>
        <v>6.3989634899731138</v>
      </c>
      <c r="DW39" s="766">
        <f t="shared" si="51"/>
        <v>35.947878458112804</v>
      </c>
      <c r="DX39" s="766">
        <f t="shared" si="52"/>
        <v>16.339944753687636</v>
      </c>
      <c r="DY39" s="766">
        <f t="shared" si="53"/>
        <v>5.4265959909774617</v>
      </c>
      <c r="DZ39" s="766">
        <f t="shared" si="54"/>
        <v>3.8827764565402982</v>
      </c>
      <c r="EB39" s="755"/>
      <c r="EC39" s="755"/>
      <c r="ED39" s="755"/>
      <c r="EE39" s="755"/>
      <c r="EF39" s="755" t="b">
        <f t="shared" si="98"/>
        <v>0</v>
      </c>
      <c r="EG39" s="755">
        <f t="shared" si="55"/>
        <v>11.879926791731734</v>
      </c>
      <c r="EH39" s="755">
        <v>18</v>
      </c>
      <c r="EI39" s="755">
        <f t="shared" si="103"/>
        <v>16</v>
      </c>
      <c r="EJ39" s="673">
        <f t="shared" si="56"/>
        <v>4.1200732082682654</v>
      </c>
      <c r="EK39" s="673">
        <f t="shared" si="57"/>
        <v>2.2510196371999172</v>
      </c>
      <c r="EL39" s="755" t="b">
        <f t="shared" si="58"/>
        <v>0</v>
      </c>
      <c r="EM39" s="673"/>
      <c r="EN39" s="755">
        <f t="shared" si="59"/>
        <v>4.1200732082682654</v>
      </c>
      <c r="EO39" s="755">
        <f t="shared" si="60"/>
        <v>7.9412654702472524E-2</v>
      </c>
      <c r="EP39" s="755">
        <f t="shared" si="61"/>
        <v>5.3114320917933356E-3</v>
      </c>
      <c r="EQ39" s="755">
        <f t="shared" si="62"/>
        <v>4.9113883171627126</v>
      </c>
      <c r="ER39" s="755">
        <f t="shared" si="63"/>
        <v>2.5154955599517086</v>
      </c>
      <c r="ES39" s="755">
        <f t="shared" si="64"/>
        <v>3.7675373553903144</v>
      </c>
      <c r="ET39" s="755">
        <f t="shared" si="65"/>
        <v>7.4084454486871154</v>
      </c>
      <c r="EU39" s="755">
        <f t="shared" si="66"/>
        <v>2.2352908565221874</v>
      </c>
      <c r="EV39" s="755">
        <f t="shared" si="67"/>
        <v>3.1896523864008186</v>
      </c>
      <c r="EW39" s="755">
        <f t="shared" si="68"/>
        <v>99.265818378090657</v>
      </c>
      <c r="EX39" s="755">
        <f t="shared" si="69"/>
        <v>16.091637065857682</v>
      </c>
      <c r="EY39" s="755">
        <f t="shared" si="99"/>
        <v>14.294950902386285</v>
      </c>
      <c r="EZ39" s="755">
        <f t="shared" si="70"/>
        <v>6.4977049556301285</v>
      </c>
      <c r="FA39" s="755">
        <f t="shared" si="71"/>
        <v>4.1200732082682654</v>
      </c>
      <c r="FB39" s="755">
        <f t="shared" si="72"/>
        <v>3.3300266024670675</v>
      </c>
      <c r="FC39" s="755"/>
      <c r="FD39" s="755"/>
      <c r="FE39" s="755"/>
      <c r="FF39" s="755"/>
      <c r="FG39" s="755"/>
      <c r="FH39" s="755"/>
      <c r="FI39" s="755"/>
      <c r="FJ39" s="755"/>
      <c r="FK39" s="755" t="b">
        <f t="shared" si="100"/>
        <v>0</v>
      </c>
      <c r="FL39" s="755">
        <f t="shared" si="73"/>
        <v>37.117223543459701</v>
      </c>
      <c r="FM39" s="755">
        <v>18</v>
      </c>
      <c r="FN39" s="767">
        <f t="shared" si="101"/>
        <v>41</v>
      </c>
      <c r="FO39" s="673">
        <f t="shared" si="74"/>
        <v>3.8827764565402982</v>
      </c>
      <c r="FP39" s="673">
        <f t="shared" si="75"/>
        <v>2.2510196371999172</v>
      </c>
      <c r="FQ39" s="766" t="b">
        <f t="shared" si="76"/>
        <v>0</v>
      </c>
      <c r="FR39" s="673"/>
      <c r="FS39" s="767">
        <f t="shared" si="77"/>
        <v>3.8827764565402982</v>
      </c>
      <c r="FT39" s="766">
        <f t="shared" si="78"/>
        <v>3.1579054138695779E-2</v>
      </c>
      <c r="FU39" s="766">
        <f t="shared" si="79"/>
        <v>2.1121319040292154E-3</v>
      </c>
      <c r="FV39" s="766">
        <f t="shared" si="80"/>
        <v>5.3005835444780685</v>
      </c>
      <c r="FW39" s="766">
        <f t="shared" si="81"/>
        <v>2.6122247006459145</v>
      </c>
      <c r="FX39" s="766">
        <f t="shared" si="82"/>
        <v>5.33985549168424</v>
      </c>
      <c r="FY39" s="766">
        <f t="shared" si="83"/>
        <v>10.500235135669042</v>
      </c>
      <c r="FZ39" s="766">
        <f t="shared" si="84"/>
        <v>2.5266009307276791</v>
      </c>
      <c r="GA39" s="766">
        <f t="shared" si="85"/>
        <v>3.5929668528771082</v>
      </c>
      <c r="GB39" s="766">
        <f t="shared" si="86"/>
        <v>39.473817673369723</v>
      </c>
      <c r="GC39" s="766">
        <f t="shared" si="87"/>
        <v>6.3989634899731138</v>
      </c>
      <c r="GD39" s="766">
        <f t="shared" si="88"/>
        <v>35.947878458112804</v>
      </c>
      <c r="GE39" s="766">
        <f t="shared" si="89"/>
        <v>16.339944753687636</v>
      </c>
      <c r="GF39" s="766">
        <f t="shared" si="90"/>
        <v>6.205699941068354</v>
      </c>
      <c r="GG39" s="766">
        <f t="shared" si="91"/>
        <v>3.8827764565402982</v>
      </c>
    </row>
    <row r="40" spans="1:189" s="5" customFormat="1" ht="16" thickTop="1">
      <c r="A40" s="162"/>
      <c r="B40" s="325" t="s">
        <v>513</v>
      </c>
      <c r="C40" s="326" t="s">
        <v>870</v>
      </c>
      <c r="D40" s="326" t="s">
        <v>8</v>
      </c>
      <c r="E40" s="326" t="s">
        <v>4</v>
      </c>
      <c r="F40" s="326" t="s">
        <v>9</v>
      </c>
      <c r="G40" s="326" t="s">
        <v>10</v>
      </c>
      <c r="H40" s="326" t="s">
        <v>92</v>
      </c>
      <c r="I40" s="326" t="s">
        <v>558</v>
      </c>
      <c r="J40" s="326" t="s">
        <v>100</v>
      </c>
      <c r="K40" s="327" t="s">
        <v>568</v>
      </c>
      <c r="L40" s="328" t="s">
        <v>95</v>
      </c>
      <c r="M40" s="329" t="s">
        <v>658</v>
      </c>
      <c r="N40" s="401" t="s">
        <v>910</v>
      </c>
      <c r="O40" s="1056" t="s">
        <v>1051</v>
      </c>
      <c r="P40" s="1057"/>
      <c r="Q40" s="1058"/>
      <c r="R40" s="1098" t="s">
        <v>1729</v>
      </c>
      <c r="S40" s="1099"/>
      <c r="T40" s="1100"/>
      <c r="U40" s="756" t="s">
        <v>536</v>
      </c>
      <c r="V40" s="757"/>
      <c r="W40" s="805">
        <f t="shared" ref="W40:W48" si="106">IF(ISNUMBER(AR102),AR102,"")</f>
        <v>0.33629510653000666</v>
      </c>
      <c r="X40" s="826">
        <f>IF(ISNUMBER(CZ148),CZ148,"")</f>
        <v>6.2689115608258281E-2</v>
      </c>
      <c r="Y40" s="826"/>
      <c r="Z40" s="827">
        <f>IF(ISNUMBER(FG148),FG148,"")</f>
        <v>5.5994953291253244E-2</v>
      </c>
      <c r="AA40" s="161"/>
      <c r="AB40" s="161"/>
      <c r="AC40" s="161"/>
      <c r="AD40" s="161"/>
      <c r="AE40" s="161"/>
      <c r="AF40" s="161"/>
      <c r="AG40" s="161"/>
      <c r="AH40" s="161"/>
      <c r="AI40" s="161"/>
      <c r="AJ40" s="161"/>
      <c r="AK40" s="168"/>
      <c r="AL40" s="161"/>
      <c r="AM40" s="161"/>
      <c r="AN40" s="64" t="s">
        <v>466</v>
      </c>
      <c r="AO40" s="64" t="s">
        <v>469</v>
      </c>
      <c r="AP40" s="64" t="s">
        <v>573</v>
      </c>
      <c r="AQ40" s="64" t="s">
        <v>467</v>
      </c>
      <c r="AR40" s="64" t="s">
        <v>468</v>
      </c>
      <c r="AS40" s="64" t="s">
        <v>10</v>
      </c>
      <c r="AT40" s="64" t="s">
        <v>517</v>
      </c>
      <c r="AU40" s="64" t="s">
        <v>562</v>
      </c>
      <c r="AV40" s="64" t="s">
        <v>563</v>
      </c>
      <c r="AW40" s="64" t="s">
        <v>564</v>
      </c>
      <c r="AX40" s="64" t="s">
        <v>1586</v>
      </c>
      <c r="AY40" s="64" t="s">
        <v>1585</v>
      </c>
      <c r="BY40" s="753" t="b">
        <f t="shared" si="94"/>
        <v>0</v>
      </c>
      <c r="BZ40" s="753">
        <f t="shared" si="19"/>
        <v>12.341282531105033</v>
      </c>
      <c r="CA40" s="751">
        <v>19</v>
      </c>
      <c r="CB40" s="752">
        <f t="shared" si="102"/>
        <v>16.5</v>
      </c>
      <c r="CC40" s="673">
        <f t="shared" si="20"/>
        <v>4.1587174688949657</v>
      </c>
      <c r="CD40" s="91">
        <f t="shared" si="9"/>
        <v>2</v>
      </c>
      <c r="CE40" s="752" t="b">
        <f t="shared" si="21"/>
        <v>0</v>
      </c>
      <c r="CF40" s="673"/>
      <c r="CG40" s="752">
        <f t="shared" si="22"/>
        <v>4.1587174688949657</v>
      </c>
      <c r="CH40" s="752">
        <f t="shared" si="23"/>
        <v>7.705361738349914E-2</v>
      </c>
      <c r="CI40" s="752">
        <f t="shared" si="24"/>
        <v>5.1536503557630042E-3</v>
      </c>
      <c r="CJ40" s="755">
        <f t="shared" si="25"/>
        <v>4.928857895705975</v>
      </c>
      <c r="CK40" s="755">
        <f t="shared" si="26"/>
        <v>2.5200164656568242</v>
      </c>
      <c r="CL40" s="755">
        <f t="shared" si="27"/>
        <v>3.7960483699334744</v>
      </c>
      <c r="CM40" s="755">
        <f t="shared" si="28"/>
        <v>7.4645092049303079</v>
      </c>
      <c r="CN40" s="755">
        <f t="shared" si="29"/>
        <v>2.2443207263693132</v>
      </c>
      <c r="CO40" s="755">
        <f t="shared" si="30"/>
        <v>3.202140302621459</v>
      </c>
      <c r="CP40" s="755">
        <f t="shared" si="31"/>
        <v>96.31702172937392</v>
      </c>
      <c r="CQ40" s="755">
        <f t="shared" si="32"/>
        <v>15.613617882341432</v>
      </c>
      <c r="CR40" s="755">
        <f t="shared" si="95"/>
        <v>14.732598397685356</v>
      </c>
      <c r="CS40" s="755">
        <f t="shared" si="33"/>
        <v>6.6966356353115248</v>
      </c>
      <c r="CT40" s="755">
        <f t="shared" si="34"/>
        <v>4.1587174688949657</v>
      </c>
      <c r="CU40" s="755">
        <f t="shared" si="35"/>
        <v>3.3472368798507537</v>
      </c>
      <c r="CX40" s="755"/>
      <c r="CY40" s="755"/>
      <c r="CZ40" s="755"/>
      <c r="DA40" s="755"/>
      <c r="DB40" s="755"/>
      <c r="DC40" s="755"/>
      <c r="DD40" s="755" t="b">
        <f t="shared" si="96"/>
        <v>0</v>
      </c>
      <c r="DE40" s="755">
        <f t="shared" si="36"/>
        <v>35.092195354118317</v>
      </c>
      <c r="DF40" s="755">
        <v>19</v>
      </c>
      <c r="DG40" s="755">
        <f t="shared" si="97"/>
        <v>40.5</v>
      </c>
      <c r="DH40" s="673">
        <f t="shared" si="37"/>
        <v>5.4078046458816837</v>
      </c>
      <c r="DI40" s="673">
        <f t="shared" si="38"/>
        <v>2</v>
      </c>
      <c r="DJ40" s="766" t="b">
        <f t="shared" si="39"/>
        <v>0</v>
      </c>
      <c r="DK40" s="673"/>
      <c r="DL40" s="766">
        <f t="shared" si="40"/>
        <v>5.4078046458816837</v>
      </c>
      <c r="DM40" s="766">
        <f t="shared" si="41"/>
        <v>3.1961074735219155E-2</v>
      </c>
      <c r="DN40" s="766">
        <f t="shared" si="42"/>
        <v>2.1376829508202139E-3</v>
      </c>
      <c r="DO40" s="766">
        <f t="shared" si="43"/>
        <v>5.2971529052518198</v>
      </c>
      <c r="DP40" s="766">
        <f t="shared" si="44"/>
        <v>2.611407431814122</v>
      </c>
      <c r="DQ40" s="766">
        <f t="shared" si="45"/>
        <v>4.7301471565668631</v>
      </c>
      <c r="DR40" s="766">
        <f t="shared" si="46"/>
        <v>9.3013111399017951</v>
      </c>
      <c r="DS40" s="766">
        <f t="shared" si="47"/>
        <v>2.5225926847131803</v>
      </c>
      <c r="DT40" s="766">
        <f t="shared" si="48"/>
        <v>3.5874116507635443</v>
      </c>
      <c r="DU40" s="766">
        <f t="shared" si="49"/>
        <v>39.951343419023942</v>
      </c>
      <c r="DV40" s="766">
        <f t="shared" si="50"/>
        <v>6.4763735301483001</v>
      </c>
      <c r="DW40" s="766">
        <f t="shared" si="51"/>
        <v>35.518204860272697</v>
      </c>
      <c r="DX40" s="766">
        <f t="shared" si="52"/>
        <v>16.144638572851225</v>
      </c>
      <c r="DY40" s="766">
        <f t="shared" si="53"/>
        <v>5.4078046458816837</v>
      </c>
      <c r="DZ40" s="766">
        <f t="shared" si="54"/>
        <v>3.8752058874974376</v>
      </c>
      <c r="EB40" s="755"/>
      <c r="EC40" s="755"/>
      <c r="ED40" s="755"/>
      <c r="EE40" s="755"/>
      <c r="EF40" s="755" t="b">
        <f t="shared" si="98"/>
        <v>0</v>
      </c>
      <c r="EG40" s="755">
        <f t="shared" si="55"/>
        <v>12.341282531105033</v>
      </c>
      <c r="EH40" s="755">
        <v>19</v>
      </c>
      <c r="EI40" s="755">
        <f t="shared" si="103"/>
        <v>16.5</v>
      </c>
      <c r="EJ40" s="673">
        <f t="shared" si="56"/>
        <v>4.1587174688949657</v>
      </c>
      <c r="EK40" s="673">
        <f t="shared" si="57"/>
        <v>2.2510196371999172</v>
      </c>
      <c r="EL40" s="755" t="b">
        <f t="shared" si="58"/>
        <v>0</v>
      </c>
      <c r="EM40" s="673"/>
      <c r="EN40" s="755">
        <f t="shared" si="59"/>
        <v>4.1587174688949657</v>
      </c>
      <c r="EO40" s="755">
        <f t="shared" si="60"/>
        <v>7.705361738349914E-2</v>
      </c>
      <c r="EP40" s="755">
        <f t="shared" si="61"/>
        <v>5.1536503557630042E-3</v>
      </c>
      <c r="EQ40" s="755">
        <f t="shared" si="62"/>
        <v>4.928857895705975</v>
      </c>
      <c r="ER40" s="755">
        <f t="shared" si="63"/>
        <v>2.5200164656568242</v>
      </c>
      <c r="ES40" s="755">
        <f t="shared" si="64"/>
        <v>3.7960483699334744</v>
      </c>
      <c r="ET40" s="755">
        <f t="shared" si="65"/>
        <v>7.4645092049303079</v>
      </c>
      <c r="EU40" s="755">
        <f t="shared" si="66"/>
        <v>2.2443207263693132</v>
      </c>
      <c r="EV40" s="755">
        <f t="shared" si="67"/>
        <v>3.202140302621459</v>
      </c>
      <c r="EW40" s="755">
        <f t="shared" si="68"/>
        <v>96.31702172937392</v>
      </c>
      <c r="EX40" s="755">
        <f t="shared" si="69"/>
        <v>15.613617882341432</v>
      </c>
      <c r="EY40" s="755">
        <f t="shared" si="99"/>
        <v>14.732598397685356</v>
      </c>
      <c r="EZ40" s="755">
        <f t="shared" si="70"/>
        <v>6.6966356353115248</v>
      </c>
      <c r="FA40" s="755">
        <f t="shared" si="71"/>
        <v>4.1587174688949657</v>
      </c>
      <c r="FB40" s="755">
        <f t="shared" si="72"/>
        <v>3.3472368798507537</v>
      </c>
      <c r="FC40" s="755"/>
      <c r="FD40" s="755"/>
      <c r="FE40" s="755"/>
      <c r="FF40" s="755"/>
      <c r="FG40" s="755"/>
      <c r="FH40" s="755"/>
      <c r="FI40" s="755"/>
      <c r="FJ40" s="755"/>
      <c r="FK40" s="755" t="b">
        <f t="shared" si="100"/>
        <v>0</v>
      </c>
      <c r="FL40" s="755">
        <f t="shared" si="73"/>
        <v>36.624794112502563</v>
      </c>
      <c r="FM40" s="755">
        <v>19</v>
      </c>
      <c r="FN40" s="767">
        <f t="shared" si="101"/>
        <v>40.5</v>
      </c>
      <c r="FO40" s="673">
        <f t="shared" si="74"/>
        <v>3.8752058874974376</v>
      </c>
      <c r="FP40" s="673">
        <f t="shared" si="75"/>
        <v>2.2510196371999172</v>
      </c>
      <c r="FQ40" s="766" t="b">
        <f t="shared" si="76"/>
        <v>0</v>
      </c>
      <c r="FR40" s="673"/>
      <c r="FS40" s="767">
        <f t="shared" si="77"/>
        <v>3.8752058874974376</v>
      </c>
      <c r="FT40" s="766">
        <f t="shared" si="78"/>
        <v>3.1961074735219155E-2</v>
      </c>
      <c r="FU40" s="766">
        <f t="shared" si="79"/>
        <v>2.1376829508202139E-3</v>
      </c>
      <c r="FV40" s="766">
        <f t="shared" si="80"/>
        <v>5.2971529052518198</v>
      </c>
      <c r="FW40" s="766">
        <f t="shared" si="81"/>
        <v>2.611407431814122</v>
      </c>
      <c r="FX40" s="766">
        <f t="shared" si="82"/>
        <v>5.3238270681386801</v>
      </c>
      <c r="FY40" s="766">
        <f t="shared" si="83"/>
        <v>10.468717013812643</v>
      </c>
      <c r="FZ40" s="766">
        <f t="shared" si="84"/>
        <v>2.5225926847131803</v>
      </c>
      <c r="GA40" s="766">
        <f t="shared" si="85"/>
        <v>3.5874116507635443</v>
      </c>
      <c r="GB40" s="766">
        <f t="shared" si="86"/>
        <v>39.951343419023942</v>
      </c>
      <c r="GC40" s="766">
        <f t="shared" si="87"/>
        <v>6.4763735301483001</v>
      </c>
      <c r="GD40" s="766">
        <f t="shared" si="88"/>
        <v>35.518204860272697</v>
      </c>
      <c r="GE40" s="766">
        <f t="shared" si="89"/>
        <v>16.144638572851225</v>
      </c>
      <c r="GF40" s="766">
        <f t="shared" si="90"/>
        <v>6.1848966503383211</v>
      </c>
      <c r="GG40" s="766">
        <f t="shared" si="91"/>
        <v>3.8752058874974376</v>
      </c>
    </row>
    <row r="41" spans="1:189" s="5" customFormat="1" ht="15.5">
      <c r="A41" s="162"/>
      <c r="B41" s="292">
        <v>1</v>
      </c>
      <c r="C41" s="671">
        <v>0.1</v>
      </c>
      <c r="D41" s="869">
        <v>17</v>
      </c>
      <c r="E41" s="869">
        <v>8</v>
      </c>
      <c r="F41" s="869">
        <v>0.4</v>
      </c>
      <c r="G41" s="869">
        <v>2.4</v>
      </c>
      <c r="H41" s="869">
        <v>3.4000000000000002E-2</v>
      </c>
      <c r="I41" s="869">
        <v>20</v>
      </c>
      <c r="J41" s="671"/>
      <c r="K41" s="870">
        <v>13.7</v>
      </c>
      <c r="L41" s="304">
        <f>IF(ISNUMBER(AW41),AY41*((500+6*AW41)/(6.57*AW41+30.34))^(1/(((1.024+0.232*LN(AY41/(10^(0.92*LOG(56.42*AV41)-0.865))))))),"")</f>
        <v>0.26432852353939246</v>
      </c>
      <c r="M41" s="295">
        <f>IF(ISNUMBER(L41),L41*2.2,"")</f>
        <v>0.58152275178666346</v>
      </c>
      <c r="N41" s="296">
        <f>IF(ISNUMBER(M41),0.03/M41,"")</f>
        <v>5.1588695210683266E-2</v>
      </c>
      <c r="O41" s="1056" t="s">
        <v>927</v>
      </c>
      <c r="P41" s="1057"/>
      <c r="Q41" s="1058"/>
      <c r="R41" s="782">
        <f>IF(ISNUMBER(AX78),AX78,"")</f>
        <v>21.113872125586717</v>
      </c>
      <c r="S41" s="818"/>
      <c r="T41" s="819"/>
      <c r="U41" s="756" t="s">
        <v>922</v>
      </c>
      <c r="V41" s="757"/>
      <c r="W41" s="806">
        <f t="shared" si="106"/>
        <v>472.15832956812937</v>
      </c>
      <c r="X41" s="849">
        <f>IF(ISNUMBER(CZ149),CZ149,"")</f>
        <v>88.015518313994633</v>
      </c>
      <c r="Y41" s="820"/>
      <c r="Z41" s="857">
        <f t="shared" ref="Z41:Z42" si="107">IF(ISNUMBER(FG149),FG149,"")</f>
        <v>78.616914420919557</v>
      </c>
      <c r="AA41" s="161"/>
      <c r="AB41" s="161"/>
      <c r="AC41" s="161"/>
      <c r="AD41" s="161"/>
      <c r="AE41" s="161"/>
      <c r="AF41" s="161"/>
      <c r="AG41" s="163"/>
      <c r="AH41" s="161"/>
      <c r="AI41" s="161"/>
      <c r="AJ41" s="161"/>
      <c r="AK41" s="168"/>
      <c r="AL41" s="161"/>
      <c r="AM41" s="161"/>
      <c r="AN41" s="160">
        <f>IF(ISNUMBER(C41),(C41*100)-100,"")</f>
        <v>-90</v>
      </c>
      <c r="AO41" s="160">
        <f>IF(ISNUMBER(C41),(C41*100)-30,"")</f>
        <v>-20</v>
      </c>
      <c r="AP41" s="160">
        <f>IF(ISNUMBER(C41),(C41*100)-10,"")</f>
        <v>0</v>
      </c>
      <c r="AQ41" s="160">
        <f>AVERAGE(D41)</f>
        <v>17</v>
      </c>
      <c r="AR41" s="160">
        <f>AVERAGE(E41)</f>
        <v>8</v>
      </c>
      <c r="AS41" s="160">
        <f>AVERAGE(AT41)</f>
        <v>2.4</v>
      </c>
      <c r="AT41" s="46">
        <f t="shared" ref="AT41:AT52" si="108">IF(ISNUMBER(G41),G41,IF(AND(ISNUMBER(F41),ISNUMBER(E41)),F41/E41*100,""))</f>
        <v>2.4</v>
      </c>
      <c r="AU41" s="59">
        <f t="shared" ref="AU41:AU52" si="109">IF(OR((I$39="ppm"),(I$39="mg/kg")),I41/10000,I41)</f>
        <v>2E-3</v>
      </c>
      <c r="AV41" s="59">
        <f t="shared" ref="AV41:AV52" si="110">IF(ISNUMBER(I41),AU41,"")</f>
        <v>2E-3</v>
      </c>
      <c r="AW41" s="59">
        <f>IF(ISNUMBER($J41),$J41,IF(AND(ISBLANK($J41),ISNUMBER($E41)),(1.34+0.15*$E41),IF(AND(ISBLANK($J41),ISBLANK($E41),ISNUMBER($K41)),(-1.37+0.42*$K41),IF(AND(ISBLANK($J41),ISBLANK($E41),ISBLANK($K41),ISNUMBER($D41)),(0.59+0.016*($D41^1.5)),"No Data"))))</f>
        <v>2.54</v>
      </c>
      <c r="AX41" s="737">
        <f>IF((H$39="µS/cm"),H41/1000,IF(H$39="dS/m",H41,""))</f>
        <v>3.4000000000000002E-2</v>
      </c>
      <c r="AY41" s="737">
        <f>IF(ISNUMBER(H41),AX41,"")</f>
        <v>3.4000000000000002E-2</v>
      </c>
      <c r="BA41" s="699"/>
      <c r="BY41" s="753" t="b">
        <f t="shared" si="94"/>
        <v>0</v>
      </c>
      <c r="BZ41" s="753">
        <f t="shared" si="19"/>
        <v>12.803542639329105</v>
      </c>
      <c r="CA41" s="751">
        <v>20</v>
      </c>
      <c r="CB41" s="752">
        <f t="shared" si="102"/>
        <v>17</v>
      </c>
      <c r="CC41" s="673">
        <f t="shared" si="20"/>
        <v>4.1964573606708955</v>
      </c>
      <c r="CD41" s="91">
        <f t="shared" si="9"/>
        <v>2</v>
      </c>
      <c r="CE41" s="752" t="b">
        <f t="shared" si="21"/>
        <v>0</v>
      </c>
      <c r="CF41" s="673"/>
      <c r="CG41" s="752">
        <f t="shared" si="22"/>
        <v>4.1964573606708955</v>
      </c>
      <c r="CH41" s="752">
        <f t="shared" si="23"/>
        <v>7.4832000322846912E-2</v>
      </c>
      <c r="CI41" s="752">
        <f t="shared" si="24"/>
        <v>5.0050598295322216E-3</v>
      </c>
      <c r="CJ41" s="755">
        <f t="shared" si="25"/>
        <v>4.9454583438686459</v>
      </c>
      <c r="CK41" s="755">
        <f t="shared" si="26"/>
        <v>2.5242963796534075</v>
      </c>
      <c r="CL41" s="755">
        <f t="shared" si="27"/>
        <v>3.823914357859143</v>
      </c>
      <c r="CM41" s="755">
        <f t="shared" si="28"/>
        <v>7.5193045876823144</v>
      </c>
      <c r="CN41" s="755">
        <f t="shared" si="29"/>
        <v>2.2531119211214183</v>
      </c>
      <c r="CO41" s="755">
        <f t="shared" si="30"/>
        <v>3.214299043802304</v>
      </c>
      <c r="CP41" s="755">
        <f t="shared" si="31"/>
        <v>93.540000403558636</v>
      </c>
      <c r="CQ41" s="755">
        <f t="shared" si="32"/>
        <v>15.163444599842917</v>
      </c>
      <c r="CR41" s="755">
        <f t="shared" si="95"/>
        <v>15.169980691447757</v>
      </c>
      <c r="CS41" s="755">
        <f t="shared" si="33"/>
        <v>6.8954457688398891</v>
      </c>
      <c r="CT41" s="755">
        <f t="shared" si="34"/>
        <v>4.1964573606708955</v>
      </c>
      <c r="CU41" s="755">
        <f t="shared" si="35"/>
        <v>3.3639876164370768</v>
      </c>
      <c r="CX41" s="755"/>
      <c r="CY41" s="755"/>
      <c r="CZ41" s="755"/>
      <c r="DA41" s="755"/>
      <c r="DB41" s="755"/>
      <c r="DC41" s="755"/>
      <c r="DD41" s="755" t="b">
        <f t="shared" si="96"/>
        <v>0</v>
      </c>
      <c r="DE41" s="755">
        <f t="shared" si="36"/>
        <v>34.611170252413274</v>
      </c>
      <c r="DF41" s="755">
        <v>20</v>
      </c>
      <c r="DG41" s="755">
        <f t="shared" si="97"/>
        <v>40</v>
      </c>
      <c r="DH41" s="673">
        <f t="shared" si="37"/>
        <v>5.3888297475867271</v>
      </c>
      <c r="DI41" s="673">
        <f t="shared" si="38"/>
        <v>2</v>
      </c>
      <c r="DJ41" s="766" t="b">
        <f t="shared" si="39"/>
        <v>0</v>
      </c>
      <c r="DK41" s="673"/>
      <c r="DL41" s="766">
        <f t="shared" si="40"/>
        <v>5.3888297475867271</v>
      </c>
      <c r="DM41" s="766">
        <f t="shared" si="41"/>
        <v>3.2352549167023431E-2</v>
      </c>
      <c r="DN41" s="766">
        <f t="shared" si="42"/>
        <v>2.163866307465223E-3</v>
      </c>
      <c r="DO41" s="766">
        <f t="shared" si="43"/>
        <v>5.2936433509614975</v>
      </c>
      <c r="DP41" s="766">
        <f t="shared" si="44"/>
        <v>2.6105707333725499</v>
      </c>
      <c r="DQ41" s="766">
        <f t="shared" si="45"/>
        <v>4.7157727568566123</v>
      </c>
      <c r="DR41" s="766">
        <f t="shared" si="46"/>
        <v>9.2730454729512974</v>
      </c>
      <c r="DS41" s="766">
        <f t="shared" si="47"/>
        <v>2.5185405066903215</v>
      </c>
      <c r="DT41" s="766">
        <f t="shared" si="48"/>
        <v>3.581795716214994</v>
      </c>
      <c r="DU41" s="766">
        <f t="shared" si="49"/>
        <v>40.44068645877929</v>
      </c>
      <c r="DV41" s="766">
        <f t="shared" si="50"/>
        <v>6.5556992308286119</v>
      </c>
      <c r="DW41" s="766">
        <f t="shared" si="51"/>
        <v>35.088425154364522</v>
      </c>
      <c r="DX41" s="766">
        <f t="shared" si="52"/>
        <v>15.949284161074781</v>
      </c>
      <c r="DY41" s="766">
        <f t="shared" si="53"/>
        <v>5.3888297475867271</v>
      </c>
      <c r="DZ41" s="766">
        <f t="shared" si="54"/>
        <v>3.8675513406525237</v>
      </c>
      <c r="EB41" s="755"/>
      <c r="EC41" s="755"/>
      <c r="ED41" s="755"/>
      <c r="EE41" s="755"/>
      <c r="EF41" s="755" t="b">
        <f t="shared" si="98"/>
        <v>0</v>
      </c>
      <c r="EG41" s="755">
        <f t="shared" si="55"/>
        <v>12.803542639329105</v>
      </c>
      <c r="EH41" s="755">
        <v>20</v>
      </c>
      <c r="EI41" s="755">
        <f t="shared" si="103"/>
        <v>17</v>
      </c>
      <c r="EJ41" s="673">
        <f t="shared" si="56"/>
        <v>4.1964573606708955</v>
      </c>
      <c r="EK41" s="673">
        <f t="shared" si="57"/>
        <v>2.2510196371999172</v>
      </c>
      <c r="EL41" s="755" t="b">
        <f t="shared" si="58"/>
        <v>0</v>
      </c>
      <c r="EM41" s="673"/>
      <c r="EN41" s="755">
        <f t="shared" si="59"/>
        <v>4.1964573606708955</v>
      </c>
      <c r="EO41" s="755">
        <f t="shared" si="60"/>
        <v>7.4832000322846912E-2</v>
      </c>
      <c r="EP41" s="755">
        <f t="shared" si="61"/>
        <v>5.0050598295322216E-3</v>
      </c>
      <c r="EQ41" s="755">
        <f t="shared" si="62"/>
        <v>4.9454583438686459</v>
      </c>
      <c r="ER41" s="755">
        <f t="shared" si="63"/>
        <v>2.5242963796534075</v>
      </c>
      <c r="ES41" s="755">
        <f t="shared" si="64"/>
        <v>3.823914357859143</v>
      </c>
      <c r="ET41" s="755">
        <f t="shared" si="65"/>
        <v>7.5193045876823144</v>
      </c>
      <c r="EU41" s="755">
        <f t="shared" si="66"/>
        <v>2.2531119211214183</v>
      </c>
      <c r="EV41" s="755">
        <f t="shared" si="67"/>
        <v>3.214299043802304</v>
      </c>
      <c r="EW41" s="755">
        <f t="shared" si="68"/>
        <v>93.540000403558636</v>
      </c>
      <c r="EX41" s="755">
        <f t="shared" si="69"/>
        <v>15.163444599842917</v>
      </c>
      <c r="EY41" s="755">
        <f t="shared" si="99"/>
        <v>15.169980691447757</v>
      </c>
      <c r="EZ41" s="755">
        <f t="shared" si="70"/>
        <v>6.8954457688398891</v>
      </c>
      <c r="FA41" s="755">
        <f t="shared" si="71"/>
        <v>4.1964573606708955</v>
      </c>
      <c r="FB41" s="755">
        <f t="shared" si="72"/>
        <v>3.3639876164370768</v>
      </c>
      <c r="FC41" s="755"/>
      <c r="FD41" s="755"/>
      <c r="FE41" s="755"/>
      <c r="FF41" s="755"/>
      <c r="FG41" s="755"/>
      <c r="FH41" s="755"/>
      <c r="FI41" s="755"/>
      <c r="FJ41" s="755"/>
      <c r="FK41" s="755" t="b">
        <f t="shared" si="100"/>
        <v>0</v>
      </c>
      <c r="FL41" s="755">
        <f t="shared" si="73"/>
        <v>36.132448659347475</v>
      </c>
      <c r="FM41" s="755">
        <v>20</v>
      </c>
      <c r="FN41" s="767">
        <f t="shared" si="101"/>
        <v>40</v>
      </c>
      <c r="FO41" s="673">
        <f t="shared" si="74"/>
        <v>3.8675513406525237</v>
      </c>
      <c r="FP41" s="673">
        <f t="shared" si="75"/>
        <v>2.2510196371999172</v>
      </c>
      <c r="FQ41" s="766" t="b">
        <f t="shared" si="76"/>
        <v>0</v>
      </c>
      <c r="FR41" s="673"/>
      <c r="FS41" s="767">
        <f t="shared" si="77"/>
        <v>3.8675513406525237</v>
      </c>
      <c r="FT41" s="766">
        <f t="shared" si="78"/>
        <v>3.2352549167023431E-2</v>
      </c>
      <c r="FU41" s="766">
        <f t="shared" si="79"/>
        <v>2.163866307465223E-3</v>
      </c>
      <c r="FV41" s="766">
        <f t="shared" si="80"/>
        <v>5.2936433509614975</v>
      </c>
      <c r="FW41" s="766">
        <f t="shared" si="81"/>
        <v>2.6105707333725499</v>
      </c>
      <c r="FX41" s="766">
        <f t="shared" si="82"/>
        <v>5.3076485401283122</v>
      </c>
      <c r="FY41" s="766">
        <f t="shared" si="83"/>
        <v>10.436903728130583</v>
      </c>
      <c r="FZ41" s="766">
        <f t="shared" si="84"/>
        <v>2.5185405066903215</v>
      </c>
      <c r="GA41" s="766">
        <f t="shared" si="85"/>
        <v>3.581795716214994</v>
      </c>
      <c r="GB41" s="766">
        <f t="shared" si="86"/>
        <v>40.44068645877929</v>
      </c>
      <c r="GC41" s="766">
        <f t="shared" si="87"/>
        <v>6.5556992308286119</v>
      </c>
      <c r="GD41" s="766">
        <f t="shared" si="88"/>
        <v>35.088425154364522</v>
      </c>
      <c r="GE41" s="766">
        <f t="shared" si="89"/>
        <v>15.949284161074781</v>
      </c>
      <c r="GF41" s="766">
        <f t="shared" si="90"/>
        <v>6.1638891786798196</v>
      </c>
      <c r="GG41" s="766">
        <f t="shared" si="91"/>
        <v>3.8675513406525237</v>
      </c>
    </row>
    <row r="42" spans="1:189" s="32" customFormat="1" ht="15.5">
      <c r="A42" s="63"/>
      <c r="B42" s="292">
        <v>2</v>
      </c>
      <c r="C42" s="671">
        <v>0.2</v>
      </c>
      <c r="D42" s="869">
        <v>17</v>
      </c>
      <c r="E42" s="869">
        <v>8</v>
      </c>
      <c r="F42" s="869">
        <v>0.4</v>
      </c>
      <c r="G42" s="869">
        <v>1.8</v>
      </c>
      <c r="H42" s="869">
        <v>2.9000000000000001E-2</v>
      </c>
      <c r="I42" s="869">
        <v>10</v>
      </c>
      <c r="J42" s="671"/>
      <c r="K42" s="870">
        <v>14.4</v>
      </c>
      <c r="L42" s="304">
        <f t="shared" ref="L42:L52" si="111">IF(ISNUMBER(AW42),AY42*((500+6*AW42)/(6.57*AW42+30.34))^(1/(((1.024+0.232*LN(AY42/(10^(0.92*LOG(56.42*AV42)-0.865))))))),"")</f>
        <v>0.18866652231403053</v>
      </c>
      <c r="M42" s="295">
        <f t="shared" ref="M42:M52" si="112">IF(ISNUMBER(L42),L42*2.2,"")</f>
        <v>0.4150663490908672</v>
      </c>
      <c r="N42" s="296">
        <f t="shared" ref="N42:N52" si="113">IF(ISNUMBER(M42),0.03/M42,"")</f>
        <v>7.2277601076815634E-2</v>
      </c>
      <c r="O42" s="1056" t="s">
        <v>928</v>
      </c>
      <c r="P42" s="1057"/>
      <c r="Q42" s="1058"/>
      <c r="R42" s="804">
        <f>IF(ISNUMBER(AX79),AX79,"")</f>
        <v>25.780467646127843</v>
      </c>
      <c r="S42" s="818"/>
      <c r="T42" s="819"/>
      <c r="U42" s="756" t="s">
        <v>1524</v>
      </c>
      <c r="V42" s="757"/>
      <c r="W42" s="806">
        <f t="shared" si="106"/>
        <v>19.22687420257531</v>
      </c>
      <c r="X42" s="849">
        <f>IF(ISNUMBER(CZ150),CZ150,"")</f>
        <v>3.5841013332233409</v>
      </c>
      <c r="Y42" s="820"/>
      <c r="Z42" s="857">
        <f t="shared" si="107"/>
        <v>3.2013784976497828</v>
      </c>
      <c r="AA42" s="163"/>
      <c r="AB42" s="163"/>
      <c r="AC42" s="163"/>
      <c r="AD42" s="163"/>
      <c r="AE42" s="163"/>
      <c r="AF42" s="163"/>
      <c r="AG42" s="163"/>
      <c r="AH42" s="163"/>
      <c r="AI42" s="163"/>
      <c r="AJ42" s="163"/>
      <c r="AK42" s="168"/>
      <c r="AL42" s="163"/>
      <c r="AM42" s="163"/>
      <c r="AN42" s="160">
        <f t="shared" ref="AN42:AN52" si="114">IF(ISNUMBER(C42),(C42*100)-100,"")</f>
        <v>-80</v>
      </c>
      <c r="AO42" s="160">
        <f t="shared" ref="AO42:AO52" si="115">IF(ISNUMBER(C42),(C42*100)-30,"")</f>
        <v>-10</v>
      </c>
      <c r="AP42" s="160">
        <f t="shared" ref="AP42:AP52" si="116">IF(ISNUMBER(C42),(C42*100)-10,"")</f>
        <v>10</v>
      </c>
      <c r="AQ42" s="160">
        <f>AVERAGE(D41:D42)</f>
        <v>17</v>
      </c>
      <c r="AR42" s="160">
        <f>AVERAGE(E41:E42)</f>
        <v>8</v>
      </c>
      <c r="AS42" s="160">
        <f>AVERAGE(AT41:AT42)</f>
        <v>2.1</v>
      </c>
      <c r="AT42" s="46">
        <f t="shared" si="108"/>
        <v>1.8</v>
      </c>
      <c r="AU42" s="59">
        <f t="shared" si="109"/>
        <v>1E-3</v>
      </c>
      <c r="AV42" s="59">
        <f t="shared" si="110"/>
        <v>1E-3</v>
      </c>
      <c r="AW42" s="730">
        <f t="shared" ref="AW42:AW52" si="117">IF(ISNUMBER($J42),$J42,IF(AND(ISBLANK($J42),ISNUMBER($E42)),(1.34+0.15*$E42),IF(AND(ISBLANK($J42),ISBLANK($E42),ISNUMBER($K42)),(-1.37+0.42*$K42),IF(AND(ISBLANK($J42),ISBLANK($E42),ISBLANK($K42),ISNUMBER($D42)),(0.59+0.016*($D42^1.5)),"No Data"))))</f>
        <v>2.54</v>
      </c>
      <c r="AX42" s="737">
        <f t="shared" ref="AX42:AX53" si="118">IF((H$39="µS/cm"),H42/1000,IF(H$39="dS/m",H42,""))</f>
        <v>2.9000000000000001E-2</v>
      </c>
      <c r="AY42" s="737">
        <f t="shared" ref="AY42:AY52" si="119">IF(ISNUMBER(H42),AX42,"")</f>
        <v>2.9000000000000001E-2</v>
      </c>
      <c r="AZ42"/>
      <c r="BA42" t="s">
        <v>614</v>
      </c>
      <c r="BC42"/>
      <c r="BY42" s="753" t="b">
        <f t="shared" si="94"/>
        <v>0</v>
      </c>
      <c r="BZ42" s="753">
        <f t="shared" si="19"/>
        <v>13.266660460561582</v>
      </c>
      <c r="CA42" s="751">
        <v>21</v>
      </c>
      <c r="CB42" s="752">
        <f t="shared" si="102"/>
        <v>17.5</v>
      </c>
      <c r="CC42" s="673">
        <f t="shared" si="20"/>
        <v>4.2333395394384192</v>
      </c>
      <c r="CD42" s="91">
        <f t="shared" si="9"/>
        <v>2</v>
      </c>
      <c r="CE42" s="752" t="b">
        <f t="shared" si="21"/>
        <v>0</v>
      </c>
      <c r="CF42" s="673"/>
      <c r="CG42" s="752">
        <f t="shared" si="22"/>
        <v>4.2333395394384192</v>
      </c>
      <c r="CH42" s="752">
        <f t="shared" si="23"/>
        <v>7.2736099756903219E-2</v>
      </c>
      <c r="CI42" s="752">
        <f t="shared" si="24"/>
        <v>4.8648777191510843E-3</v>
      </c>
      <c r="CJ42" s="755">
        <f t="shared" si="25"/>
        <v>4.9612533558288883</v>
      </c>
      <c r="CK42" s="755">
        <f t="shared" si="26"/>
        <v>2.5283541580435687</v>
      </c>
      <c r="CL42" s="755">
        <f t="shared" si="27"/>
        <v>3.8511682564927443</v>
      </c>
      <c r="CM42" s="755">
        <f t="shared" si="28"/>
        <v>7.5728963645500889</v>
      </c>
      <c r="CN42" s="755">
        <f t="shared" si="29"/>
        <v>2.2616775053233487</v>
      </c>
      <c r="CO42" s="755">
        <f t="shared" si="30"/>
        <v>3.2261466034101258</v>
      </c>
      <c r="CP42" s="755">
        <f t="shared" si="31"/>
        <v>90.920124696129022</v>
      </c>
      <c r="CQ42" s="755">
        <f t="shared" si="32"/>
        <v>14.738745647772229</v>
      </c>
      <c r="CR42" s="755">
        <f t="shared" si="95"/>
        <v>15.607105739708853</v>
      </c>
      <c r="CS42" s="755">
        <f t="shared" si="33"/>
        <v>7.0941389725949326</v>
      </c>
      <c r="CT42" s="755">
        <f t="shared" si="34"/>
        <v>4.2333395394384192</v>
      </c>
      <c r="CU42" s="755">
        <f t="shared" si="35"/>
        <v>3.3803040632622805</v>
      </c>
      <c r="DD42" s="755" t="b">
        <f t="shared" si="96"/>
        <v>0</v>
      </c>
      <c r="DE42" s="755">
        <f t="shared" si="36"/>
        <v>34.130332803270299</v>
      </c>
      <c r="DF42" s="755">
        <v>21</v>
      </c>
      <c r="DG42" s="755">
        <f t="shared" si="97"/>
        <v>39.5</v>
      </c>
      <c r="DH42" s="673">
        <f t="shared" si="37"/>
        <v>5.3696671967297034</v>
      </c>
      <c r="DI42" s="673">
        <f t="shared" si="38"/>
        <v>2</v>
      </c>
      <c r="DJ42" s="766" t="b">
        <f t="shared" si="39"/>
        <v>0</v>
      </c>
      <c r="DK42" s="673"/>
      <c r="DL42" s="766">
        <f t="shared" si="40"/>
        <v>5.3696671967297034</v>
      </c>
      <c r="DM42" s="766">
        <f t="shared" si="41"/>
        <v>3.275383400237241E-2</v>
      </c>
      <c r="DN42" s="766">
        <f t="shared" si="42"/>
        <v>2.1907058226584633E-3</v>
      </c>
      <c r="DO42" s="766">
        <f t="shared" si="43"/>
        <v>5.2900521146508828</v>
      </c>
      <c r="DP42" s="766">
        <f t="shared" si="44"/>
        <v>2.6097139013282331</v>
      </c>
      <c r="DQ42" s="766">
        <f t="shared" si="45"/>
        <v>4.7012620516795831</v>
      </c>
      <c r="DR42" s="766">
        <f t="shared" si="46"/>
        <v>9.2445117763783387</v>
      </c>
      <c r="DS42" s="766">
        <f t="shared" si="47"/>
        <v>2.51444335627236</v>
      </c>
      <c r="DT42" s="766">
        <f t="shared" si="48"/>
        <v>3.5761176129404322</v>
      </c>
      <c r="DU42" s="766">
        <f t="shared" si="49"/>
        <v>40.942292502965515</v>
      </c>
      <c r="DV42" s="766">
        <f t="shared" si="50"/>
        <v>6.6370128445676473</v>
      </c>
      <c r="DW42" s="766">
        <f t="shared" si="51"/>
        <v>34.658537987271224</v>
      </c>
      <c r="DX42" s="766">
        <f t="shared" si="52"/>
        <v>15.753880903305101</v>
      </c>
      <c r="DY42" s="766">
        <f t="shared" si="53"/>
        <v>5.3696671967297034</v>
      </c>
      <c r="DZ42" s="766">
        <f t="shared" si="54"/>
        <v>3.8598108180222437</v>
      </c>
      <c r="EF42" s="755" t="b">
        <f t="shared" si="98"/>
        <v>0</v>
      </c>
      <c r="EG42" s="755">
        <f t="shared" si="55"/>
        <v>13.266660460561582</v>
      </c>
      <c r="EH42" s="755">
        <v>21</v>
      </c>
      <c r="EI42" s="755">
        <f t="shared" si="103"/>
        <v>17.5</v>
      </c>
      <c r="EJ42" s="673">
        <f t="shared" si="56"/>
        <v>4.2333395394384192</v>
      </c>
      <c r="EK42" s="673">
        <f t="shared" si="57"/>
        <v>2.2510196371999172</v>
      </c>
      <c r="EL42" s="755" t="b">
        <f t="shared" si="58"/>
        <v>0</v>
      </c>
      <c r="EM42" s="673"/>
      <c r="EN42" s="755">
        <f t="shared" si="59"/>
        <v>4.2333395394384192</v>
      </c>
      <c r="EO42" s="755">
        <f t="shared" si="60"/>
        <v>7.2736099756903219E-2</v>
      </c>
      <c r="EP42" s="755">
        <f t="shared" si="61"/>
        <v>4.8648777191510843E-3</v>
      </c>
      <c r="EQ42" s="755">
        <f t="shared" si="62"/>
        <v>4.9612533558288883</v>
      </c>
      <c r="ER42" s="755">
        <f t="shared" si="63"/>
        <v>2.5283541580435687</v>
      </c>
      <c r="ES42" s="755">
        <f t="shared" si="64"/>
        <v>3.8511682564927443</v>
      </c>
      <c r="ET42" s="755">
        <f t="shared" si="65"/>
        <v>7.5728963645500889</v>
      </c>
      <c r="EU42" s="755">
        <f t="shared" si="66"/>
        <v>2.2616775053233487</v>
      </c>
      <c r="EV42" s="755">
        <f t="shared" si="67"/>
        <v>3.2261466034101258</v>
      </c>
      <c r="EW42" s="755">
        <f t="shared" si="68"/>
        <v>90.920124696129022</v>
      </c>
      <c r="EX42" s="755">
        <f t="shared" si="69"/>
        <v>14.738745647772229</v>
      </c>
      <c r="EY42" s="755">
        <f t="shared" si="99"/>
        <v>15.607105739708853</v>
      </c>
      <c r="EZ42" s="755">
        <f t="shared" si="70"/>
        <v>7.0941389725949326</v>
      </c>
      <c r="FA42" s="755">
        <f t="shared" si="71"/>
        <v>4.2333395394384192</v>
      </c>
      <c r="FB42" s="755">
        <f t="shared" si="72"/>
        <v>3.3803040632622805</v>
      </c>
      <c r="FK42" s="755" t="b">
        <f t="shared" si="100"/>
        <v>0</v>
      </c>
      <c r="FL42" s="755">
        <f t="shared" si="73"/>
        <v>35.640189181977753</v>
      </c>
      <c r="FM42" s="755">
        <v>21</v>
      </c>
      <c r="FN42" s="767">
        <f t="shared" si="101"/>
        <v>39.5</v>
      </c>
      <c r="FO42" s="673">
        <f t="shared" si="74"/>
        <v>3.8598108180222437</v>
      </c>
      <c r="FP42" s="673">
        <f t="shared" si="75"/>
        <v>2.2510196371999172</v>
      </c>
      <c r="FQ42" s="766" t="b">
        <f t="shared" si="76"/>
        <v>0</v>
      </c>
      <c r="FR42" s="673"/>
      <c r="FS42" s="767">
        <f t="shared" si="77"/>
        <v>3.8598108180222437</v>
      </c>
      <c r="FT42" s="766">
        <f t="shared" si="78"/>
        <v>3.275383400237241E-2</v>
      </c>
      <c r="FU42" s="766">
        <f t="shared" si="79"/>
        <v>2.1907058226584633E-3</v>
      </c>
      <c r="FV42" s="766">
        <f t="shared" si="80"/>
        <v>5.2900521146508828</v>
      </c>
      <c r="FW42" s="766">
        <f t="shared" si="81"/>
        <v>2.6097139013282331</v>
      </c>
      <c r="FX42" s="766">
        <f t="shared" si="82"/>
        <v>5.2913165989767563</v>
      </c>
      <c r="FY42" s="766">
        <f t="shared" si="83"/>
        <v>10.404788772476765</v>
      </c>
      <c r="FZ42" s="766">
        <f t="shared" si="84"/>
        <v>2.51444335627236</v>
      </c>
      <c r="GA42" s="766">
        <f t="shared" si="85"/>
        <v>3.5761176129404322</v>
      </c>
      <c r="GB42" s="766">
        <f t="shared" si="86"/>
        <v>40.942292502965515</v>
      </c>
      <c r="GC42" s="766">
        <f t="shared" si="87"/>
        <v>6.6370128445676473</v>
      </c>
      <c r="GD42" s="766">
        <f t="shared" si="88"/>
        <v>34.658537987271224</v>
      </c>
      <c r="GE42" s="766">
        <f t="shared" si="89"/>
        <v>15.753880903305101</v>
      </c>
      <c r="GF42" s="766">
        <f t="shared" si="90"/>
        <v>6.1426729587850568</v>
      </c>
      <c r="GG42" s="766">
        <f t="shared" si="91"/>
        <v>3.8598108180222437</v>
      </c>
    </row>
    <row r="43" spans="1:189" s="46" customFormat="1" ht="15.5">
      <c r="A43" s="162"/>
      <c r="B43" s="292">
        <v>3</v>
      </c>
      <c r="C43" s="671">
        <v>0.3</v>
      </c>
      <c r="D43" s="869">
        <v>17</v>
      </c>
      <c r="E43" s="869">
        <v>8</v>
      </c>
      <c r="F43" s="869">
        <v>0.4</v>
      </c>
      <c r="G43" s="869">
        <v>1.6</v>
      </c>
      <c r="H43" s="869">
        <v>0.04</v>
      </c>
      <c r="I43" s="869">
        <v>20</v>
      </c>
      <c r="J43" s="671"/>
      <c r="K43" s="870">
        <v>14.9</v>
      </c>
      <c r="L43" s="304">
        <f t="shared" si="111"/>
        <v>0.29164588823968851</v>
      </c>
      <c r="M43" s="295">
        <f t="shared" si="112"/>
        <v>0.64162095412731479</v>
      </c>
      <c r="N43" s="296">
        <f t="shared" si="113"/>
        <v>4.6756577706854624E-2</v>
      </c>
      <c r="O43" s="1056" t="s">
        <v>916</v>
      </c>
      <c r="P43" s="1057"/>
      <c r="Q43" s="1058"/>
      <c r="R43" s="810">
        <f>IF(ISNUMBER(AX102),AX102,"")</f>
        <v>24.9501674095997</v>
      </c>
      <c r="S43" s="820">
        <f>IF(ISNUMBER(CZ146),CZ146,"")</f>
        <v>37.971308666842205</v>
      </c>
      <c r="T43" s="821">
        <f>IF(ISNUMBER(FG146),FG146,"")</f>
        <v>50.166987824541778</v>
      </c>
      <c r="U43" s="756" t="s">
        <v>919</v>
      </c>
      <c r="V43" s="757"/>
      <c r="W43" s="807">
        <f t="shared" si="106"/>
        <v>1.1043601176130537</v>
      </c>
      <c r="X43" s="816"/>
      <c r="Y43" s="816"/>
      <c r="Z43" s="817"/>
      <c r="AA43" s="161"/>
      <c r="AB43" s="161"/>
      <c r="AC43" s="161"/>
      <c r="AD43" s="161"/>
      <c r="AE43" s="161"/>
      <c r="AF43" s="161"/>
      <c r="AG43" s="162"/>
      <c r="AH43" s="161"/>
      <c r="AI43" s="161"/>
      <c r="AJ43" s="161"/>
      <c r="AK43" s="168"/>
      <c r="AL43" s="161"/>
      <c r="AM43" s="161"/>
      <c r="AN43" s="160">
        <f t="shared" si="114"/>
        <v>-70</v>
      </c>
      <c r="AO43" s="160">
        <f t="shared" si="115"/>
        <v>0</v>
      </c>
      <c r="AP43" s="160">
        <f t="shared" si="116"/>
        <v>20</v>
      </c>
      <c r="AQ43" s="160">
        <f>AVERAGE(D41:D43)</f>
        <v>17</v>
      </c>
      <c r="AR43" s="160">
        <f>AVERAGE(E41:E43)</f>
        <v>8</v>
      </c>
      <c r="AS43" s="160">
        <f>AVERAGE(AT41:AT43)</f>
        <v>1.9333333333333336</v>
      </c>
      <c r="AT43" s="46">
        <f t="shared" si="108"/>
        <v>1.6</v>
      </c>
      <c r="AU43" s="59">
        <f t="shared" si="109"/>
        <v>2E-3</v>
      </c>
      <c r="AV43" s="59">
        <f t="shared" si="110"/>
        <v>2E-3</v>
      </c>
      <c r="AW43" s="730">
        <f t="shared" si="117"/>
        <v>2.54</v>
      </c>
      <c r="AX43" s="737">
        <f t="shared" si="118"/>
        <v>0.04</v>
      </c>
      <c r="AY43" s="737">
        <f t="shared" si="119"/>
        <v>0.04</v>
      </c>
      <c r="AZ43"/>
      <c r="BA43" t="s">
        <v>615</v>
      </c>
      <c r="BC43"/>
      <c r="BY43" s="753" t="b">
        <f t="shared" si="94"/>
        <v>0</v>
      </c>
      <c r="BZ43" s="753">
        <f t="shared" si="19"/>
        <v>13.730592993821936</v>
      </c>
      <c r="CA43" s="751">
        <v>22</v>
      </c>
      <c r="CB43" s="752">
        <f t="shared" si="102"/>
        <v>18</v>
      </c>
      <c r="CC43" s="673">
        <f t="shared" si="20"/>
        <v>4.2694070061780636</v>
      </c>
      <c r="CD43" s="91">
        <f t="shared" si="9"/>
        <v>2</v>
      </c>
      <c r="CE43" s="752" t="b">
        <f t="shared" si="21"/>
        <v>0</v>
      </c>
      <c r="CF43" s="673"/>
      <c r="CG43" s="752">
        <f t="shared" si="22"/>
        <v>4.2694070061780636</v>
      </c>
      <c r="CH43" s="752">
        <f t="shared" si="23"/>
        <v>7.0755506206453683E-2</v>
      </c>
      <c r="CI43" s="752">
        <f t="shared" si="24"/>
        <v>4.7324077975237321E-3</v>
      </c>
      <c r="CJ43" s="755">
        <f t="shared" si="25"/>
        <v>4.9763005227981907</v>
      </c>
      <c r="CK43" s="755">
        <f t="shared" si="26"/>
        <v>2.5322067343312322</v>
      </c>
      <c r="CL43" s="755">
        <f t="shared" si="27"/>
        <v>3.8778404373548834</v>
      </c>
      <c r="CM43" s="755">
        <f t="shared" si="28"/>
        <v>7.6253442577692381</v>
      </c>
      <c r="CN43" s="755">
        <f t="shared" si="29"/>
        <v>2.2700294796252916</v>
      </c>
      <c r="CO43" s="755">
        <f t="shared" si="30"/>
        <v>3.2376995109596223</v>
      </c>
      <c r="CP43" s="755">
        <f t="shared" si="31"/>
        <v>88.444382758067107</v>
      </c>
      <c r="CQ43" s="755">
        <f t="shared" si="32"/>
        <v>14.337411720475373</v>
      </c>
      <c r="CR43" s="755">
        <f t="shared" si="95"/>
        <v>16.043981039265848</v>
      </c>
      <c r="CS43" s="755">
        <f t="shared" si="33"/>
        <v>7.2927186542117486</v>
      </c>
      <c r="CT43" s="755">
        <f t="shared" si="34"/>
        <v>4.2694070061780636</v>
      </c>
      <c r="CU43" s="755">
        <f t="shared" si="35"/>
        <v>3.3962094104152118</v>
      </c>
      <c r="CX43" s="755"/>
      <c r="CY43" s="755"/>
      <c r="CZ43" s="755"/>
      <c r="DA43" s="755"/>
      <c r="DB43" s="755"/>
      <c r="DC43" s="755"/>
      <c r="DD43" s="755" t="b">
        <f t="shared" si="96"/>
        <v>0</v>
      </c>
      <c r="DE43" s="755">
        <f t="shared" si="36"/>
        <v>33.6496872507565</v>
      </c>
      <c r="DF43" s="755">
        <v>22</v>
      </c>
      <c r="DG43" s="755">
        <f t="shared" si="97"/>
        <v>39</v>
      </c>
      <c r="DH43" s="673">
        <f t="shared" si="37"/>
        <v>5.3503127492434963</v>
      </c>
      <c r="DI43" s="673">
        <f t="shared" si="38"/>
        <v>2</v>
      </c>
      <c r="DJ43" s="766" t="b">
        <f t="shared" si="39"/>
        <v>0</v>
      </c>
      <c r="DK43" s="673"/>
      <c r="DL43" s="766">
        <f t="shared" si="40"/>
        <v>5.3503127492434963</v>
      </c>
      <c r="DM43" s="766">
        <f t="shared" si="41"/>
        <v>3.3165304001346027E-2</v>
      </c>
      <c r="DN43" s="766">
        <f t="shared" si="42"/>
        <v>2.2182265618346918E-3</v>
      </c>
      <c r="DO43" s="766">
        <f t="shared" si="43"/>
        <v>5.2863762981319198</v>
      </c>
      <c r="DP43" s="766">
        <f t="shared" si="44"/>
        <v>2.6088361971870726</v>
      </c>
      <c r="DQ43" s="766">
        <f t="shared" si="45"/>
        <v>4.6866119983058327</v>
      </c>
      <c r="DR43" s="766">
        <f t="shared" si="46"/>
        <v>9.2157040669910639</v>
      </c>
      <c r="DS43" s="766">
        <f t="shared" si="47"/>
        <v>2.5103001548687911</v>
      </c>
      <c r="DT43" s="766">
        <f t="shared" si="48"/>
        <v>3.5703758519565105</v>
      </c>
      <c r="DU43" s="766">
        <f t="shared" si="49"/>
        <v>41.456630001682534</v>
      </c>
      <c r="DV43" s="766">
        <f t="shared" si="50"/>
        <v>6.7203903101841709</v>
      </c>
      <c r="DW43" s="766">
        <f t="shared" si="51"/>
        <v>34.228541971269962</v>
      </c>
      <c r="DX43" s="766">
        <f t="shared" si="52"/>
        <v>15.558428168759072</v>
      </c>
      <c r="DY43" s="766">
        <f t="shared" si="53"/>
        <v>5.3503127492434963</v>
      </c>
      <c r="DZ43" s="766">
        <f t="shared" si="54"/>
        <v>3.8519822480522983</v>
      </c>
      <c r="EB43" s="755"/>
      <c r="EC43" s="755"/>
      <c r="ED43" s="755"/>
      <c r="EE43" s="755"/>
      <c r="EF43" s="755" t="b">
        <f t="shared" si="98"/>
        <v>0</v>
      </c>
      <c r="EG43" s="755">
        <f t="shared" si="55"/>
        <v>13.730592993821936</v>
      </c>
      <c r="EH43" s="755">
        <v>22</v>
      </c>
      <c r="EI43" s="755">
        <f t="shared" si="103"/>
        <v>18</v>
      </c>
      <c r="EJ43" s="673">
        <f t="shared" si="56"/>
        <v>4.2694070061780636</v>
      </c>
      <c r="EK43" s="673">
        <f t="shared" si="57"/>
        <v>2.2510196371999172</v>
      </c>
      <c r="EL43" s="755" t="b">
        <f t="shared" si="58"/>
        <v>0</v>
      </c>
      <c r="EM43" s="673"/>
      <c r="EN43" s="755">
        <f t="shared" si="59"/>
        <v>4.2694070061780636</v>
      </c>
      <c r="EO43" s="755">
        <f t="shared" si="60"/>
        <v>7.0755506206453683E-2</v>
      </c>
      <c r="EP43" s="755">
        <f t="shared" si="61"/>
        <v>4.7324077975237321E-3</v>
      </c>
      <c r="EQ43" s="755">
        <f t="shared" si="62"/>
        <v>4.9763005227981907</v>
      </c>
      <c r="ER43" s="755">
        <f t="shared" si="63"/>
        <v>2.5322067343312322</v>
      </c>
      <c r="ES43" s="755">
        <f t="shared" si="64"/>
        <v>3.8778404373548834</v>
      </c>
      <c r="ET43" s="755">
        <f t="shared" si="65"/>
        <v>7.6253442577692381</v>
      </c>
      <c r="EU43" s="755">
        <f t="shared" si="66"/>
        <v>2.2700294796252916</v>
      </c>
      <c r="EV43" s="755">
        <f t="shared" si="67"/>
        <v>3.2376995109596223</v>
      </c>
      <c r="EW43" s="755">
        <f t="shared" si="68"/>
        <v>88.444382758067107</v>
      </c>
      <c r="EX43" s="755">
        <f t="shared" si="69"/>
        <v>14.337411720475373</v>
      </c>
      <c r="EY43" s="755">
        <f t="shared" si="99"/>
        <v>16.043981039265848</v>
      </c>
      <c r="EZ43" s="755">
        <f t="shared" si="70"/>
        <v>7.2927186542117486</v>
      </c>
      <c r="FA43" s="755">
        <f t="shared" si="71"/>
        <v>4.2694070061780636</v>
      </c>
      <c r="FB43" s="755">
        <f t="shared" si="72"/>
        <v>3.3962094104152118</v>
      </c>
      <c r="FC43" s="755"/>
      <c r="FD43" s="755"/>
      <c r="FE43" s="755"/>
      <c r="FF43" s="755"/>
      <c r="FG43" s="755"/>
      <c r="FH43" s="755"/>
      <c r="FI43" s="755"/>
      <c r="FJ43" s="755"/>
      <c r="FK43" s="755" t="b">
        <f t="shared" si="100"/>
        <v>0</v>
      </c>
      <c r="FL43" s="755">
        <f t="shared" si="73"/>
        <v>35.148017751947705</v>
      </c>
      <c r="FM43" s="755">
        <v>22</v>
      </c>
      <c r="FN43" s="767">
        <f t="shared" si="101"/>
        <v>39</v>
      </c>
      <c r="FO43" s="673">
        <f t="shared" si="74"/>
        <v>3.8519822480522983</v>
      </c>
      <c r="FP43" s="673">
        <f t="shared" si="75"/>
        <v>2.2510196371999172</v>
      </c>
      <c r="FQ43" s="766" t="b">
        <f t="shared" si="76"/>
        <v>0</v>
      </c>
      <c r="FR43" s="673"/>
      <c r="FS43" s="767">
        <f t="shared" si="77"/>
        <v>3.8519822480522983</v>
      </c>
      <c r="FT43" s="766">
        <f t="shared" si="78"/>
        <v>3.3165304001346027E-2</v>
      </c>
      <c r="FU43" s="766">
        <f t="shared" si="79"/>
        <v>2.2182265618346918E-3</v>
      </c>
      <c r="FV43" s="766">
        <f t="shared" si="80"/>
        <v>5.2863762981319198</v>
      </c>
      <c r="FW43" s="766">
        <f t="shared" si="81"/>
        <v>2.6088361971870726</v>
      </c>
      <c r="FX43" s="766">
        <f t="shared" si="82"/>
        <v>5.2748278200615868</v>
      </c>
      <c r="FY43" s="766">
        <f t="shared" si="83"/>
        <v>10.372365412710012</v>
      </c>
      <c r="FZ43" s="766">
        <f t="shared" si="84"/>
        <v>2.5103001548687911</v>
      </c>
      <c r="GA43" s="766">
        <f t="shared" si="85"/>
        <v>3.5703758519565105</v>
      </c>
      <c r="GB43" s="766">
        <f t="shared" si="86"/>
        <v>41.456630001682534</v>
      </c>
      <c r="GC43" s="766">
        <f t="shared" si="87"/>
        <v>6.7203903101841709</v>
      </c>
      <c r="GD43" s="766">
        <f t="shared" si="88"/>
        <v>34.228541971269962</v>
      </c>
      <c r="GE43" s="766">
        <f t="shared" si="89"/>
        <v>15.558428168759072</v>
      </c>
      <c r="GF43" s="766">
        <f t="shared" si="90"/>
        <v>6.1212432619798607</v>
      </c>
      <c r="GG43" s="766">
        <f t="shared" si="91"/>
        <v>3.8519822480522983</v>
      </c>
    </row>
    <row r="44" spans="1:189" s="31" customFormat="1" ht="15.5">
      <c r="A44" s="162"/>
      <c r="B44" s="292">
        <v>4</v>
      </c>
      <c r="C44" s="671">
        <v>0.6</v>
      </c>
      <c r="D44" s="869">
        <v>17</v>
      </c>
      <c r="E44" s="869">
        <v>8</v>
      </c>
      <c r="F44" s="869">
        <v>0.5</v>
      </c>
      <c r="G44" s="869">
        <v>1.5</v>
      </c>
      <c r="H44" s="869">
        <v>0.17699999999999999</v>
      </c>
      <c r="I44" s="869">
        <v>60</v>
      </c>
      <c r="J44" s="671"/>
      <c r="K44" s="870">
        <v>13.6</v>
      </c>
      <c r="L44" s="304">
        <f t="shared" si="111"/>
        <v>1.0920922060907525</v>
      </c>
      <c r="M44" s="295">
        <f t="shared" si="112"/>
        <v>2.4026028533996557</v>
      </c>
      <c r="N44" s="296">
        <f t="shared" si="113"/>
        <v>1.2486458158305415E-2</v>
      </c>
      <c r="O44" s="1056" t="s">
        <v>613</v>
      </c>
      <c r="P44" s="1057"/>
      <c r="Q44" s="1058"/>
      <c r="R44" s="810">
        <f>IF(ISNUMBER(AX103),AX103,"")</f>
        <v>20.959510330006871</v>
      </c>
      <c r="S44" s="856">
        <f>IF(ISNUMBER(CZ147),CZ147,"")</f>
        <v>29.959224108195858</v>
      </c>
      <c r="T44" s="857">
        <f>IF(ISNUMBER(FG147),FG147,"")</f>
        <v>30.666534852087629</v>
      </c>
      <c r="U44" s="756" t="s">
        <v>1507</v>
      </c>
      <c r="V44" s="757"/>
      <c r="W44" s="807">
        <f t="shared" si="106"/>
        <v>0.50198187164229713</v>
      </c>
      <c r="X44" s="816"/>
      <c r="Y44" s="816"/>
      <c r="Z44" s="817"/>
      <c r="AA44" s="161"/>
      <c r="AB44" s="161"/>
      <c r="AC44" s="161"/>
      <c r="AD44" s="161"/>
      <c r="AE44" s="161"/>
      <c r="AF44" s="161"/>
      <c r="AG44" s="162"/>
      <c r="AH44" s="161"/>
      <c r="AI44" s="161"/>
      <c r="AJ44" s="161"/>
      <c r="AK44" s="168"/>
      <c r="AL44" s="161"/>
      <c r="AM44" s="161"/>
      <c r="AN44" s="160">
        <f t="shared" si="114"/>
        <v>-40</v>
      </c>
      <c r="AO44" s="160">
        <f t="shared" si="115"/>
        <v>30</v>
      </c>
      <c r="AP44" s="160">
        <f t="shared" si="116"/>
        <v>50</v>
      </c>
      <c r="AQ44" s="160">
        <f>AVERAGE(D41:D44)</f>
        <v>17</v>
      </c>
      <c r="AR44" s="160">
        <f>AVERAGE(E41:E44)</f>
        <v>8</v>
      </c>
      <c r="AS44" s="160">
        <f>AVERAGE(AT41:AT44)</f>
        <v>1.8250000000000002</v>
      </c>
      <c r="AT44" s="46">
        <f t="shared" si="108"/>
        <v>1.5</v>
      </c>
      <c r="AU44" s="59">
        <f t="shared" si="109"/>
        <v>6.0000000000000001E-3</v>
      </c>
      <c r="AV44" s="59">
        <f t="shared" si="110"/>
        <v>6.0000000000000001E-3</v>
      </c>
      <c r="AW44" s="730">
        <f t="shared" si="117"/>
        <v>2.54</v>
      </c>
      <c r="AX44" s="737">
        <f t="shared" si="118"/>
        <v>0.17699999999999999</v>
      </c>
      <c r="AY44" s="737">
        <f t="shared" si="119"/>
        <v>0.17699999999999999</v>
      </c>
      <c r="AZ44"/>
      <c r="BA44"/>
      <c r="BB44" s="699"/>
      <c r="BC44"/>
      <c r="BY44" s="753" t="b">
        <f t="shared" si="94"/>
        <v>0</v>
      </c>
      <c r="BZ44" s="753">
        <f t="shared" si="19"/>
        <v>14.195300514173214</v>
      </c>
      <c r="CA44" s="751">
        <v>23</v>
      </c>
      <c r="CB44" s="752">
        <f t="shared" si="102"/>
        <v>18.5</v>
      </c>
      <c r="CC44" s="673">
        <f t="shared" si="20"/>
        <v>4.3046994858267862</v>
      </c>
      <c r="CD44" s="91">
        <f t="shared" si="9"/>
        <v>2</v>
      </c>
      <c r="CE44" s="752" t="b">
        <f t="shared" si="21"/>
        <v>0</v>
      </c>
      <c r="CF44" s="673"/>
      <c r="CG44" s="752">
        <f t="shared" si="22"/>
        <v>4.3046994858267862</v>
      </c>
      <c r="CH44" s="752">
        <f t="shared" si="23"/>
        <v>6.8880930224540143E-2</v>
      </c>
      <c r="CI44" s="752">
        <f t="shared" si="24"/>
        <v>4.6070287497366469E-3</v>
      </c>
      <c r="CJ44" s="755">
        <f t="shared" si="25"/>
        <v>4.9906520495391034</v>
      </c>
      <c r="CK44" s="755">
        <f t="shared" si="26"/>
        <v>2.5358693588676027</v>
      </c>
      <c r="CL44" s="755">
        <f t="shared" si="27"/>
        <v>3.9039589711160958</v>
      </c>
      <c r="CM44" s="755">
        <f t="shared" si="28"/>
        <v>7.6767034652082282</v>
      </c>
      <c r="CN44" s="755">
        <f t="shared" si="29"/>
        <v>2.2781788942602565</v>
      </c>
      <c r="CO44" s="755">
        <f t="shared" si="30"/>
        <v>3.248972988058771</v>
      </c>
      <c r="CP44" s="755">
        <f t="shared" si="31"/>
        <v>86.101162780675182</v>
      </c>
      <c r="CQ44" s="755">
        <f t="shared" si="32"/>
        <v>13.957560467972321</v>
      </c>
      <c r="CR44" s="755">
        <f t="shared" si="95"/>
        <v>16.480613666212705</v>
      </c>
      <c r="CS44" s="755">
        <f t="shared" si="33"/>
        <v>7.4911880300966835</v>
      </c>
      <c r="CT44" s="755">
        <f t="shared" si="34"/>
        <v>4.3046994858267862</v>
      </c>
      <c r="CU44" s="755">
        <f t="shared" si="35"/>
        <v>3.411725007208708</v>
      </c>
      <c r="CX44" s="755"/>
      <c r="CY44" s="755"/>
      <c r="CZ44" s="755"/>
      <c r="DA44" s="755"/>
      <c r="DB44" s="755"/>
      <c r="DC44" s="755"/>
      <c r="DD44" s="755" t="b">
        <f t="shared" si="96"/>
        <v>0</v>
      </c>
      <c r="DE44" s="755">
        <f t="shared" si="36"/>
        <v>33.169237990678326</v>
      </c>
      <c r="DF44" s="755">
        <v>23</v>
      </c>
      <c r="DG44" s="755">
        <f t="shared" si="97"/>
        <v>38.5</v>
      </c>
      <c r="DH44" s="673">
        <f t="shared" si="37"/>
        <v>5.3307620093216714</v>
      </c>
      <c r="DI44" s="673">
        <f t="shared" si="38"/>
        <v>2</v>
      </c>
      <c r="DJ44" s="766" t="b">
        <f t="shared" si="39"/>
        <v>0</v>
      </c>
      <c r="DK44" s="673"/>
      <c r="DL44" s="766">
        <f t="shared" si="40"/>
        <v>5.3307620093216714</v>
      </c>
      <c r="DM44" s="766">
        <f t="shared" si="41"/>
        <v>3.3587353292251126E-2</v>
      </c>
      <c r="DN44" s="766">
        <f t="shared" si="42"/>
        <v>2.2464548858522012E-3</v>
      </c>
      <c r="DO44" s="766">
        <f t="shared" si="43"/>
        <v>5.2826128640962224</v>
      </c>
      <c r="DP44" s="766">
        <f t="shared" si="44"/>
        <v>2.607936845810984</v>
      </c>
      <c r="DQ44" s="766">
        <f t="shared" si="45"/>
        <v>4.6718194460051112</v>
      </c>
      <c r="DR44" s="766">
        <f t="shared" si="46"/>
        <v>9.1866161492269693</v>
      </c>
      <c r="DS44" s="766">
        <f t="shared" si="47"/>
        <v>2.5061097837715636</v>
      </c>
      <c r="DT44" s="766">
        <f t="shared" si="48"/>
        <v>3.5645688889498688</v>
      </c>
      <c r="DU44" s="766">
        <f t="shared" si="49"/>
        <v>41.984191615313911</v>
      </c>
      <c r="DV44" s="766">
        <f t="shared" si="50"/>
        <v>6.8059114911419467</v>
      </c>
      <c r="DW44" s="766">
        <f t="shared" si="51"/>
        <v>33.79843568269191</v>
      </c>
      <c r="DX44" s="766">
        <f t="shared" si="52"/>
        <v>15.362925310314504</v>
      </c>
      <c r="DY44" s="766">
        <f t="shared" si="53"/>
        <v>5.3307620093216714</v>
      </c>
      <c r="DZ44" s="766">
        <f t="shared" si="54"/>
        <v>3.8440634819247532</v>
      </c>
      <c r="EB44" s="755"/>
      <c r="EC44" s="755"/>
      <c r="ED44" s="755"/>
      <c r="EE44" s="755"/>
      <c r="EF44" s="755" t="b">
        <f t="shared" si="98"/>
        <v>0</v>
      </c>
      <c r="EG44" s="755">
        <f t="shared" si="55"/>
        <v>14.195300514173214</v>
      </c>
      <c r="EH44" s="755">
        <v>23</v>
      </c>
      <c r="EI44" s="755">
        <f t="shared" si="103"/>
        <v>18.5</v>
      </c>
      <c r="EJ44" s="673">
        <f t="shared" si="56"/>
        <v>4.3046994858267862</v>
      </c>
      <c r="EK44" s="673">
        <f t="shared" si="57"/>
        <v>2.2510196371999172</v>
      </c>
      <c r="EL44" s="755" t="b">
        <f t="shared" si="58"/>
        <v>0</v>
      </c>
      <c r="EM44" s="673"/>
      <c r="EN44" s="755">
        <f t="shared" si="59"/>
        <v>4.3046994858267862</v>
      </c>
      <c r="EO44" s="755">
        <f t="shared" si="60"/>
        <v>6.8880930224540143E-2</v>
      </c>
      <c r="EP44" s="755">
        <f t="shared" si="61"/>
        <v>4.6070287497366469E-3</v>
      </c>
      <c r="EQ44" s="755">
        <f t="shared" si="62"/>
        <v>4.9906520495391034</v>
      </c>
      <c r="ER44" s="755">
        <f t="shared" si="63"/>
        <v>2.5358693588676027</v>
      </c>
      <c r="ES44" s="755">
        <f t="shared" si="64"/>
        <v>3.9039589711160958</v>
      </c>
      <c r="ET44" s="755">
        <f t="shared" si="65"/>
        <v>7.6767034652082282</v>
      </c>
      <c r="EU44" s="755">
        <f t="shared" si="66"/>
        <v>2.2781788942602565</v>
      </c>
      <c r="EV44" s="755">
        <f t="shared" si="67"/>
        <v>3.248972988058771</v>
      </c>
      <c r="EW44" s="755">
        <f t="shared" si="68"/>
        <v>86.101162780675182</v>
      </c>
      <c r="EX44" s="755">
        <f t="shared" si="69"/>
        <v>13.957560467972321</v>
      </c>
      <c r="EY44" s="755">
        <f t="shared" si="99"/>
        <v>16.480613666212705</v>
      </c>
      <c r="EZ44" s="755">
        <f t="shared" si="70"/>
        <v>7.4911880300966835</v>
      </c>
      <c r="FA44" s="755">
        <f t="shared" si="71"/>
        <v>4.3046994858267862</v>
      </c>
      <c r="FB44" s="755">
        <f t="shared" si="72"/>
        <v>3.411725007208708</v>
      </c>
      <c r="FC44" s="755"/>
      <c r="FD44" s="755"/>
      <c r="FE44" s="755"/>
      <c r="FF44" s="755"/>
      <c r="FG44" s="755"/>
      <c r="FH44" s="755"/>
      <c r="FI44" s="755"/>
      <c r="FJ44" s="755"/>
      <c r="FK44" s="755" t="b">
        <f t="shared" si="100"/>
        <v>0</v>
      </c>
      <c r="FL44" s="755">
        <f t="shared" si="73"/>
        <v>34.655936518075244</v>
      </c>
      <c r="FM44" s="755">
        <v>23</v>
      </c>
      <c r="FN44" s="767">
        <f t="shared" si="101"/>
        <v>38.5</v>
      </c>
      <c r="FO44" s="673">
        <f t="shared" si="74"/>
        <v>3.8440634819247532</v>
      </c>
      <c r="FP44" s="673">
        <f t="shared" si="75"/>
        <v>2.2510196371999172</v>
      </c>
      <c r="FQ44" s="766" t="b">
        <f t="shared" si="76"/>
        <v>0</v>
      </c>
      <c r="FR44" s="673"/>
      <c r="FS44" s="767">
        <f t="shared" si="77"/>
        <v>3.8440634819247532</v>
      </c>
      <c r="FT44" s="766">
        <f t="shared" si="78"/>
        <v>3.3587353292251126E-2</v>
      </c>
      <c r="FU44" s="766">
        <f t="shared" si="79"/>
        <v>2.2464548858522012E-3</v>
      </c>
      <c r="FV44" s="766">
        <f t="shared" si="80"/>
        <v>5.2826128640962224</v>
      </c>
      <c r="FW44" s="766">
        <f t="shared" si="81"/>
        <v>2.607936845810984</v>
      </c>
      <c r="FX44" s="766">
        <f t="shared" si="82"/>
        <v>5.2581786572049714</v>
      </c>
      <c r="FY44" s="766">
        <f t="shared" si="83"/>
        <v>10.339626675663895</v>
      </c>
      <c r="FZ44" s="766">
        <f t="shared" si="84"/>
        <v>2.5061097837715636</v>
      </c>
      <c r="GA44" s="766">
        <f t="shared" si="85"/>
        <v>3.5645688889498688</v>
      </c>
      <c r="GB44" s="766">
        <f t="shared" si="86"/>
        <v>41.984191615313911</v>
      </c>
      <c r="GC44" s="766">
        <f t="shared" si="87"/>
        <v>6.8059114911419467</v>
      </c>
      <c r="GD44" s="766">
        <f t="shared" si="88"/>
        <v>33.79843568269191</v>
      </c>
      <c r="GE44" s="766">
        <f t="shared" si="89"/>
        <v>15.362925310314504</v>
      </c>
      <c r="GF44" s="766">
        <f t="shared" si="90"/>
        <v>6.0995951903737442</v>
      </c>
      <c r="GG44" s="766">
        <f t="shared" si="91"/>
        <v>3.8440634819247532</v>
      </c>
    </row>
    <row r="45" spans="1:189" s="31" customFormat="1" ht="15.5">
      <c r="A45" s="162"/>
      <c r="B45" s="292">
        <v>5</v>
      </c>
      <c r="C45" s="671">
        <v>0.9</v>
      </c>
      <c r="D45" s="869">
        <v>17</v>
      </c>
      <c r="E45" s="869">
        <v>8</v>
      </c>
      <c r="F45" s="869">
        <v>10</v>
      </c>
      <c r="G45" s="869">
        <v>5</v>
      </c>
      <c r="H45" s="869">
        <v>0.20200000000000001</v>
      </c>
      <c r="I45" s="869">
        <v>20</v>
      </c>
      <c r="J45" s="671"/>
      <c r="K45" s="870">
        <v>13.2</v>
      </c>
      <c r="L45" s="304">
        <f t="shared" si="111"/>
        <v>0.91849546934632975</v>
      </c>
      <c r="M45" s="295">
        <f t="shared" si="112"/>
        <v>2.0206900325619257</v>
      </c>
      <c r="N45" s="296">
        <f t="shared" si="113"/>
        <v>1.4846413609495856E-2</v>
      </c>
      <c r="O45" s="1056" t="s">
        <v>923</v>
      </c>
      <c r="P45" s="1057"/>
      <c r="Q45" s="1058"/>
      <c r="R45" s="804">
        <f>IF(ISNUMBER(AX86),AX86,"")</f>
        <v>2.5600592062083387</v>
      </c>
      <c r="S45" s="818"/>
      <c r="T45" s="819"/>
      <c r="U45" s="756" t="s">
        <v>920</v>
      </c>
      <c r="V45" s="757"/>
      <c r="W45" s="808">
        <f t="shared" si="106"/>
        <v>1.2297146182533254</v>
      </c>
      <c r="X45" s="814">
        <f>IF(ISNUMBER(CZ153),CZ153,"")</f>
        <v>18.10840668249044</v>
      </c>
      <c r="Y45" s="814"/>
      <c r="Z45" s="815">
        <f>IF(ISNUMBER(FG153),FG153,"")</f>
        <v>7.3854335835584513</v>
      </c>
      <c r="AA45" s="161"/>
      <c r="AB45" s="161"/>
      <c r="AC45" s="161"/>
      <c r="AD45" s="161"/>
      <c r="AE45" s="161"/>
      <c r="AF45" s="161"/>
      <c r="AG45" s="161"/>
      <c r="AH45" s="161"/>
      <c r="AI45" s="161"/>
      <c r="AJ45" s="161"/>
      <c r="AK45" s="168"/>
      <c r="AL45" s="161"/>
      <c r="AM45" s="161"/>
      <c r="AN45" s="160">
        <f t="shared" si="114"/>
        <v>-10</v>
      </c>
      <c r="AO45" s="160">
        <f t="shared" si="115"/>
        <v>60</v>
      </c>
      <c r="AP45" s="160">
        <f t="shared" si="116"/>
        <v>80</v>
      </c>
      <c r="AQ45" s="160">
        <f>AVERAGE(D41:D45)</f>
        <v>17</v>
      </c>
      <c r="AR45" s="160">
        <f>AVERAGE(E41:E45)</f>
        <v>8</v>
      </c>
      <c r="AS45" s="160">
        <f>AVERAGE(AT41:AT45)</f>
        <v>2.46</v>
      </c>
      <c r="AT45" s="46">
        <f t="shared" si="108"/>
        <v>5</v>
      </c>
      <c r="AU45" s="59">
        <f t="shared" si="109"/>
        <v>2E-3</v>
      </c>
      <c r="AV45" s="59">
        <f t="shared" si="110"/>
        <v>2E-3</v>
      </c>
      <c r="AW45" s="730">
        <f t="shared" si="117"/>
        <v>2.54</v>
      </c>
      <c r="AX45" s="737">
        <f t="shared" si="118"/>
        <v>0.20200000000000001</v>
      </c>
      <c r="AY45" s="737">
        <f t="shared" si="119"/>
        <v>0.20200000000000001</v>
      </c>
      <c r="AZ45"/>
      <c r="BA45"/>
      <c r="BB45"/>
      <c r="BC45"/>
      <c r="BY45" s="753" t="b">
        <f t="shared" si="94"/>
        <v>0</v>
      </c>
      <c r="BZ45" s="753">
        <f t="shared" si="19"/>
        <v>14.660746242248557</v>
      </c>
      <c r="CA45" s="751">
        <v>24</v>
      </c>
      <c r="CB45" s="752">
        <f t="shared" si="102"/>
        <v>19</v>
      </c>
      <c r="CC45" s="673">
        <f t="shared" si="20"/>
        <v>4.3392537577514441</v>
      </c>
      <c r="CD45" s="91">
        <f t="shared" si="9"/>
        <v>2</v>
      </c>
      <c r="CE45" s="752" t="b">
        <f t="shared" si="21"/>
        <v>0</v>
      </c>
      <c r="CF45" s="673"/>
      <c r="CG45" s="752">
        <f t="shared" si="22"/>
        <v>4.3392537577514441</v>
      </c>
      <c r="CH45" s="752">
        <f t="shared" si="23"/>
        <v>6.7104055573562166E-2</v>
      </c>
      <c r="CI45" s="752">
        <f t="shared" si="24"/>
        <v>4.4881843529631354E-3</v>
      </c>
      <c r="CJ45" s="755">
        <f t="shared" si="25"/>
        <v>5.0043553719282103</v>
      </c>
      <c r="CK45" s="755">
        <f t="shared" si="26"/>
        <v>2.5393558033222523</v>
      </c>
      <c r="CL45" s="755">
        <f t="shared" si="27"/>
        <v>3.9295498588298035</v>
      </c>
      <c r="CM45" s="755">
        <f t="shared" si="28"/>
        <v>7.7270251150624052</v>
      </c>
      <c r="CN45" s="755">
        <f t="shared" si="29"/>
        <v>2.2861359477078054</v>
      </c>
      <c r="CO45" s="755">
        <f t="shared" si="30"/>
        <v>3.259981084093972</v>
      </c>
      <c r="CP45" s="755">
        <f t="shared" si="31"/>
        <v>83.880069466952705</v>
      </c>
      <c r="CQ45" s="755">
        <f t="shared" si="32"/>
        <v>13.597506744769312</v>
      </c>
      <c r="CR45" s="755">
        <f t="shared" si="95"/>
        <v>16.917010310286656</v>
      </c>
      <c r="CS45" s="755">
        <f t="shared" si="33"/>
        <v>7.6895501410393887</v>
      </c>
      <c r="CT45" s="755">
        <f t="shared" si="34"/>
        <v>4.3392537577514441</v>
      </c>
      <c r="CU45" s="755">
        <f t="shared" si="35"/>
        <v>3.4268705535748354</v>
      </c>
      <c r="CX45" s="755"/>
      <c r="CY45" s="755"/>
      <c r="CZ45" s="755"/>
      <c r="DA45" s="755"/>
      <c r="DB45" s="755"/>
      <c r="DC45" s="755"/>
      <c r="DD45" s="755" t="b">
        <f t="shared" si="96"/>
        <v>0</v>
      </c>
      <c r="DE45" s="755">
        <f t="shared" si="36"/>
        <v>32.688989578054858</v>
      </c>
      <c r="DF45" s="755">
        <v>24</v>
      </c>
      <c r="DG45" s="755">
        <f t="shared" si="97"/>
        <v>38</v>
      </c>
      <c r="DH45" s="673">
        <f t="shared" si="37"/>
        <v>5.3110104219451442</v>
      </c>
      <c r="DI45" s="673">
        <f t="shared" si="38"/>
        <v>2</v>
      </c>
      <c r="DJ45" s="766" t="b">
        <f t="shared" si="39"/>
        <v>0</v>
      </c>
      <c r="DK45" s="673"/>
      <c r="DL45" s="766">
        <f t="shared" si="40"/>
        <v>5.3110104219451442</v>
      </c>
      <c r="DM45" s="766">
        <f t="shared" si="41"/>
        <v>3.4020396640585163E-2</v>
      </c>
      <c r="DN45" s="766">
        <f t="shared" si="42"/>
        <v>2.2754185358661253E-3</v>
      </c>
      <c r="DO45" s="766">
        <f t="shared" si="43"/>
        <v>5.278758627649716</v>
      </c>
      <c r="DP45" s="766">
        <f t="shared" si="44"/>
        <v>2.6070150331131514</v>
      </c>
      <c r="DQ45" s="766">
        <f t="shared" si="45"/>
        <v>4.6568811307537139</v>
      </c>
      <c r="DR45" s="766">
        <f t="shared" si="46"/>
        <v>9.1572416047445024</v>
      </c>
      <c r="DS45" s="766">
        <f t="shared" si="47"/>
        <v>2.5018710821191719</v>
      </c>
      <c r="DT45" s="766">
        <f t="shared" si="48"/>
        <v>3.5586951214712208</v>
      </c>
      <c r="DU45" s="766">
        <f t="shared" si="49"/>
        <v>42.525495800731456</v>
      </c>
      <c r="DV45" s="766">
        <f t="shared" si="50"/>
        <v>6.8936604326838555</v>
      </c>
      <c r="DW45" s="766">
        <f t="shared" si="51"/>
        <v>33.368217660512087</v>
      </c>
      <c r="DX45" s="766">
        <f t="shared" si="52"/>
        <v>15.16737166386913</v>
      </c>
      <c r="DY45" s="766">
        <f t="shared" si="53"/>
        <v>5.3110104219451442</v>
      </c>
      <c r="DZ45" s="766">
        <f t="shared" si="54"/>
        <v>3.8360522896293947</v>
      </c>
      <c r="EB45" s="755"/>
      <c r="EC45" s="755"/>
      <c r="ED45" s="755"/>
      <c r="EE45" s="755"/>
      <c r="EF45" s="755" t="b">
        <f t="shared" si="98"/>
        <v>0</v>
      </c>
      <c r="EG45" s="755">
        <f t="shared" si="55"/>
        <v>14.660746242248557</v>
      </c>
      <c r="EH45" s="755">
        <v>24</v>
      </c>
      <c r="EI45" s="755">
        <f t="shared" si="103"/>
        <v>19</v>
      </c>
      <c r="EJ45" s="673">
        <f t="shared" si="56"/>
        <v>4.3392537577514441</v>
      </c>
      <c r="EK45" s="673">
        <f t="shared" si="57"/>
        <v>2.2510196371999172</v>
      </c>
      <c r="EL45" s="755" t="b">
        <f t="shared" si="58"/>
        <v>0</v>
      </c>
      <c r="EM45" s="673"/>
      <c r="EN45" s="755">
        <f t="shared" si="59"/>
        <v>4.3392537577514441</v>
      </c>
      <c r="EO45" s="755">
        <f t="shared" si="60"/>
        <v>6.7104055573562166E-2</v>
      </c>
      <c r="EP45" s="755">
        <f t="shared" si="61"/>
        <v>4.4881843529631354E-3</v>
      </c>
      <c r="EQ45" s="755">
        <f t="shared" si="62"/>
        <v>5.0043553719282103</v>
      </c>
      <c r="ER45" s="755">
        <f t="shared" si="63"/>
        <v>2.5393558033222523</v>
      </c>
      <c r="ES45" s="755">
        <f t="shared" si="64"/>
        <v>3.9295498588298035</v>
      </c>
      <c r="ET45" s="755">
        <f t="shared" si="65"/>
        <v>7.7270251150624052</v>
      </c>
      <c r="EU45" s="755">
        <f t="shared" si="66"/>
        <v>2.2861359477078054</v>
      </c>
      <c r="EV45" s="755">
        <f t="shared" si="67"/>
        <v>3.259981084093972</v>
      </c>
      <c r="EW45" s="755">
        <f t="shared" si="68"/>
        <v>83.880069466952705</v>
      </c>
      <c r="EX45" s="755">
        <f t="shared" si="69"/>
        <v>13.597506744769312</v>
      </c>
      <c r="EY45" s="755">
        <f t="shared" si="99"/>
        <v>16.917010310286656</v>
      </c>
      <c r="EZ45" s="755">
        <f t="shared" si="70"/>
        <v>7.6895501410393887</v>
      </c>
      <c r="FA45" s="755">
        <f t="shared" si="71"/>
        <v>4.3392537577514441</v>
      </c>
      <c r="FB45" s="755">
        <f t="shared" si="72"/>
        <v>3.4268705535748354</v>
      </c>
      <c r="FC45" s="755"/>
      <c r="FD45" s="755"/>
      <c r="FE45" s="755"/>
      <c r="FF45" s="755"/>
      <c r="FG45" s="755"/>
      <c r="FH45" s="755"/>
      <c r="FI45" s="755"/>
      <c r="FJ45" s="755"/>
      <c r="FK45" s="755" t="b">
        <f t="shared" si="100"/>
        <v>0</v>
      </c>
      <c r="FL45" s="755">
        <f t="shared" si="73"/>
        <v>34.163947710370607</v>
      </c>
      <c r="FM45" s="755">
        <v>24</v>
      </c>
      <c r="FN45" s="767">
        <f t="shared" si="101"/>
        <v>38</v>
      </c>
      <c r="FO45" s="673">
        <f t="shared" si="74"/>
        <v>3.8360522896293947</v>
      </c>
      <c r="FP45" s="673">
        <f t="shared" si="75"/>
        <v>2.2510196371999172</v>
      </c>
      <c r="FQ45" s="766" t="b">
        <f t="shared" si="76"/>
        <v>0</v>
      </c>
      <c r="FR45" s="673"/>
      <c r="FS45" s="767">
        <f t="shared" si="77"/>
        <v>3.8360522896293947</v>
      </c>
      <c r="FT45" s="766">
        <f t="shared" si="78"/>
        <v>3.4020396640585163E-2</v>
      </c>
      <c r="FU45" s="766">
        <f t="shared" si="79"/>
        <v>2.2754185358661253E-3</v>
      </c>
      <c r="FV45" s="766">
        <f t="shared" si="80"/>
        <v>5.278758627649716</v>
      </c>
      <c r="FW45" s="766">
        <f t="shared" si="81"/>
        <v>2.6070150331131514</v>
      </c>
      <c r="FX45" s="766">
        <f t="shared" si="82"/>
        <v>5.2413654367161824</v>
      </c>
      <c r="FY45" s="766">
        <f t="shared" si="83"/>
        <v>10.306565337431978</v>
      </c>
      <c r="FZ45" s="766">
        <f t="shared" si="84"/>
        <v>2.5018710821191719</v>
      </c>
      <c r="GA45" s="766">
        <f t="shared" si="85"/>
        <v>3.5586951214712208</v>
      </c>
      <c r="GB45" s="766">
        <f t="shared" si="86"/>
        <v>42.525495800731456</v>
      </c>
      <c r="GC45" s="766">
        <f t="shared" si="87"/>
        <v>6.8936604326838555</v>
      </c>
      <c r="GD45" s="766">
        <f t="shared" si="88"/>
        <v>33.368217660512087</v>
      </c>
      <c r="GE45" s="766">
        <f t="shared" si="89"/>
        <v>15.16737166386913</v>
      </c>
      <c r="GF45" s="766">
        <f t="shared" si="90"/>
        <v>6.077723668520802</v>
      </c>
      <c r="GG45" s="766">
        <f t="shared" si="91"/>
        <v>3.8360522896293947</v>
      </c>
    </row>
    <row r="46" spans="1:189" ht="15.5">
      <c r="B46" s="292">
        <v>6</v>
      </c>
      <c r="C46" s="675">
        <v>1.2</v>
      </c>
      <c r="D46" s="869">
        <v>17</v>
      </c>
      <c r="E46" s="869">
        <v>8</v>
      </c>
      <c r="F46" s="869"/>
      <c r="G46" s="869">
        <v>9.8000000000000007</v>
      </c>
      <c r="H46" s="869">
        <v>0.104</v>
      </c>
      <c r="I46" s="869">
        <v>10</v>
      </c>
      <c r="J46" s="671"/>
      <c r="K46" s="870">
        <v>13.4</v>
      </c>
      <c r="L46" s="304">
        <f t="shared" si="111"/>
        <v>0.47565950454092493</v>
      </c>
      <c r="M46" s="295">
        <f t="shared" si="112"/>
        <v>1.046450909990035</v>
      </c>
      <c r="N46" s="296">
        <f t="shared" si="113"/>
        <v>2.8668329984333121E-2</v>
      </c>
      <c r="O46" s="1056" t="s">
        <v>924</v>
      </c>
      <c r="P46" s="1057"/>
      <c r="Q46" s="1058"/>
      <c r="R46" s="804">
        <f>IF(ISNUMBER(AX87),AX87,"")</f>
        <v>2.3012640213945197</v>
      </c>
      <c r="S46" s="818"/>
      <c r="T46" s="819"/>
      <c r="U46" s="756" t="s">
        <v>921</v>
      </c>
      <c r="V46" s="757"/>
      <c r="W46" s="808">
        <f t="shared" si="106"/>
        <v>0.55896119011514789</v>
      </c>
      <c r="X46" s="814">
        <f t="shared" ref="X46:X48" si="120">IF(ISNUMBER(CZ154),CZ154,"")</f>
        <v>8.2310939465865633</v>
      </c>
      <c r="Y46" s="814"/>
      <c r="Z46" s="855">
        <f t="shared" ref="Z46:Z48" si="121">IF(ISNUMBER(FG154),FG154,"")</f>
        <v>3.3570152652538412</v>
      </c>
      <c r="AA46" s="237"/>
      <c r="AB46" s="237"/>
      <c r="AC46" s="161"/>
      <c r="AD46" s="161"/>
      <c r="AE46" s="161"/>
      <c r="AF46" s="161"/>
      <c r="AG46" s="161"/>
      <c r="AH46" s="161"/>
      <c r="AI46" s="161"/>
      <c r="AJ46" s="161"/>
      <c r="AK46" s="168"/>
      <c r="AL46" s="161"/>
      <c r="AM46" s="161"/>
      <c r="AN46" s="160">
        <f t="shared" si="114"/>
        <v>20</v>
      </c>
      <c r="AO46" s="160">
        <f t="shared" si="115"/>
        <v>90</v>
      </c>
      <c r="AP46" s="160">
        <f t="shared" si="116"/>
        <v>110</v>
      </c>
      <c r="AQ46" s="160">
        <f>AVERAGE(D41:D46)</f>
        <v>17</v>
      </c>
      <c r="AR46" s="160">
        <f>AVERAGE(E41:E46)</f>
        <v>8</v>
      </c>
      <c r="AS46" s="160">
        <f>AVERAGE(AT41:AT46)</f>
        <v>3.6833333333333336</v>
      </c>
      <c r="AT46" s="46">
        <f t="shared" si="108"/>
        <v>9.8000000000000007</v>
      </c>
      <c r="AU46" s="59">
        <f t="shared" si="109"/>
        <v>1E-3</v>
      </c>
      <c r="AV46" s="59">
        <f t="shared" si="110"/>
        <v>1E-3</v>
      </c>
      <c r="AW46" s="730">
        <f t="shared" si="117"/>
        <v>2.54</v>
      </c>
      <c r="AX46" s="737">
        <f t="shared" si="118"/>
        <v>0.104</v>
      </c>
      <c r="AY46" s="737">
        <f t="shared" si="119"/>
        <v>0.104</v>
      </c>
      <c r="BY46" s="753" t="b">
        <f t="shared" si="94"/>
        <v>0</v>
      </c>
      <c r="BZ46" s="753">
        <f t="shared" si="19"/>
        <v>15.126896054853782</v>
      </c>
      <c r="CA46" s="751">
        <v>25</v>
      </c>
      <c r="CB46" s="752">
        <f t="shared" si="102"/>
        <v>19.5</v>
      </c>
      <c r="CC46" s="673">
        <f t="shared" si="20"/>
        <v>4.3731039451462177</v>
      </c>
      <c r="CD46" s="91">
        <f t="shared" si="9"/>
        <v>2</v>
      </c>
      <c r="CE46" s="752" t="b">
        <f t="shared" si="21"/>
        <v>0</v>
      </c>
      <c r="CF46" s="673"/>
      <c r="CG46" s="752">
        <f t="shared" si="22"/>
        <v>4.3731039451462177</v>
      </c>
      <c r="CH46" s="752">
        <f t="shared" si="23"/>
        <v>6.5417414921183845E-2</v>
      </c>
      <c r="CI46" s="752">
        <f t="shared" si="24"/>
        <v>4.375375162514468E-3</v>
      </c>
      <c r="CJ46" s="755">
        <f t="shared" si="25"/>
        <v>5.0174536911961773</v>
      </c>
      <c r="CK46" s="755">
        <f t="shared" si="26"/>
        <v>2.5426785360064468</v>
      </c>
      <c r="CL46" s="755">
        <f t="shared" si="27"/>
        <v>3.9546372345029304</v>
      </c>
      <c r="CM46" s="755">
        <f t="shared" si="28"/>
        <v>7.7763566641867081</v>
      </c>
      <c r="CN46" s="755">
        <f t="shared" si="29"/>
        <v>2.2939100728132735</v>
      </c>
      <c r="CO46" s="755">
        <f t="shared" si="30"/>
        <v>3.2707367946725241</v>
      </c>
      <c r="CP46" s="755">
        <f t="shared" si="31"/>
        <v>81.771768651479803</v>
      </c>
      <c r="CQ46" s="755">
        <f t="shared" si="32"/>
        <v>13.255737421727801</v>
      </c>
      <c r="CR46" s="755">
        <f t="shared" si="95"/>
        <v>17.353177305580029</v>
      </c>
      <c r="CS46" s="755">
        <f t="shared" si="33"/>
        <v>7.8878078661727402</v>
      </c>
      <c r="CT46" s="755">
        <f t="shared" si="34"/>
        <v>4.3731039451462177</v>
      </c>
      <c r="CU46" s="755">
        <f t="shared" si="35"/>
        <v>3.4416642670961926</v>
      </c>
      <c r="CX46" s="755"/>
      <c r="CY46" s="755"/>
      <c r="CZ46" s="755"/>
      <c r="DA46" s="755"/>
      <c r="DB46" s="755"/>
      <c r="DC46" s="755"/>
      <c r="DD46" s="755" t="b">
        <f t="shared" si="96"/>
        <v>0</v>
      </c>
      <c r="DE46" s="755">
        <f t="shared" si="36"/>
        <v>32.20894673506281</v>
      </c>
      <c r="DF46" s="755">
        <v>25</v>
      </c>
      <c r="DG46" s="755">
        <f t="shared" si="97"/>
        <v>37.5</v>
      </c>
      <c r="DH46" s="673">
        <f t="shared" si="37"/>
        <v>5.2910532649371929</v>
      </c>
      <c r="DI46" s="673">
        <f t="shared" si="38"/>
        <v>2</v>
      </c>
      <c r="DJ46" s="766" t="b">
        <f t="shared" si="39"/>
        <v>0</v>
      </c>
      <c r="DK46" s="673"/>
      <c r="DL46" s="766">
        <f t="shared" si="40"/>
        <v>5.2910532649371929</v>
      </c>
      <c r="DM46" s="766">
        <f t="shared" si="41"/>
        <v>3.4464870819165272E-2</v>
      </c>
      <c r="DN46" s="766">
        <f t="shared" si="42"/>
        <v>2.305146724968087E-3</v>
      </c>
      <c r="DO46" s="766">
        <f t="shared" si="43"/>
        <v>5.274810247220608</v>
      </c>
      <c r="DP46" s="766">
        <f t="shared" si="44"/>
        <v>2.6060699035769241</v>
      </c>
      <c r="DQ46" s="766">
        <f t="shared" si="45"/>
        <v>4.6417936696084743</v>
      </c>
      <c r="DR46" s="766">
        <f t="shared" si="46"/>
        <v>9.1275737813601427</v>
      </c>
      <c r="DS46" s="766">
        <f t="shared" si="47"/>
        <v>2.4975828447290995</v>
      </c>
      <c r="DT46" s="766">
        <f t="shared" si="48"/>
        <v>3.5527528859481001</v>
      </c>
      <c r="DU46" s="766">
        <f t="shared" si="49"/>
        <v>43.081088523956588</v>
      </c>
      <c r="DV46" s="766">
        <f t="shared" si="50"/>
        <v>6.9837256394654847</v>
      </c>
      <c r="DW46" s="766">
        <f t="shared" si="51"/>
        <v>32.937886404864642</v>
      </c>
      <c r="DX46" s="766">
        <f t="shared" si="52"/>
        <v>14.971766547665744</v>
      </c>
      <c r="DY46" s="766">
        <f t="shared" si="53"/>
        <v>5.2910532649371929</v>
      </c>
      <c r="DZ46" s="766">
        <f t="shared" si="54"/>
        <v>3.8279463557806581</v>
      </c>
      <c r="EB46" s="755"/>
      <c r="EC46" s="755"/>
      <c r="ED46" s="755"/>
      <c r="EE46" s="755"/>
      <c r="EF46" s="755" t="b">
        <f t="shared" si="98"/>
        <v>0</v>
      </c>
      <c r="EG46" s="755">
        <f t="shared" si="55"/>
        <v>15.126896054853782</v>
      </c>
      <c r="EH46" s="755">
        <v>25</v>
      </c>
      <c r="EI46" s="755">
        <f t="shared" si="103"/>
        <v>19.5</v>
      </c>
      <c r="EJ46" s="673">
        <f t="shared" si="56"/>
        <v>4.3731039451462177</v>
      </c>
      <c r="EK46" s="673">
        <f t="shared" si="57"/>
        <v>2.2510196371999172</v>
      </c>
      <c r="EL46" s="755" t="b">
        <f t="shared" si="58"/>
        <v>0</v>
      </c>
      <c r="EM46" s="673"/>
      <c r="EN46" s="755">
        <f t="shared" si="59"/>
        <v>4.3731039451462177</v>
      </c>
      <c r="EO46" s="755">
        <f t="shared" si="60"/>
        <v>6.5417414921183845E-2</v>
      </c>
      <c r="EP46" s="755">
        <f t="shared" si="61"/>
        <v>4.375375162514468E-3</v>
      </c>
      <c r="EQ46" s="755">
        <f t="shared" si="62"/>
        <v>5.0174536911961773</v>
      </c>
      <c r="ER46" s="755">
        <f t="shared" si="63"/>
        <v>2.5426785360064468</v>
      </c>
      <c r="ES46" s="755">
        <f t="shared" si="64"/>
        <v>3.9546372345029304</v>
      </c>
      <c r="ET46" s="755">
        <f t="shared" si="65"/>
        <v>7.7763566641867081</v>
      </c>
      <c r="EU46" s="755">
        <f t="shared" si="66"/>
        <v>2.2939100728132735</v>
      </c>
      <c r="EV46" s="755">
        <f t="shared" si="67"/>
        <v>3.2707367946725241</v>
      </c>
      <c r="EW46" s="755">
        <f t="shared" si="68"/>
        <v>81.771768651479803</v>
      </c>
      <c r="EX46" s="755">
        <f t="shared" si="69"/>
        <v>13.255737421727801</v>
      </c>
      <c r="EY46" s="755">
        <f t="shared" si="99"/>
        <v>17.353177305580029</v>
      </c>
      <c r="EZ46" s="755">
        <f t="shared" si="70"/>
        <v>7.8878078661727402</v>
      </c>
      <c r="FA46" s="755">
        <f t="shared" si="71"/>
        <v>4.3731039451462177</v>
      </c>
      <c r="FB46" s="755">
        <f t="shared" si="72"/>
        <v>3.4416642670961926</v>
      </c>
      <c r="FC46" s="755"/>
      <c r="FD46" s="755"/>
      <c r="FE46" s="755"/>
      <c r="FF46" s="755"/>
      <c r="FG46" s="755"/>
      <c r="FH46" s="755"/>
      <c r="FI46" s="755"/>
      <c r="FJ46" s="755"/>
      <c r="FK46" s="755" t="b">
        <f t="shared" si="100"/>
        <v>0</v>
      </c>
      <c r="FL46" s="755">
        <f t="shared" si="73"/>
        <v>33.672053644219339</v>
      </c>
      <c r="FM46" s="755">
        <v>25</v>
      </c>
      <c r="FN46" s="767">
        <f t="shared" si="101"/>
        <v>37.5</v>
      </c>
      <c r="FO46" s="673">
        <f t="shared" si="74"/>
        <v>3.8279463557806581</v>
      </c>
      <c r="FP46" s="673">
        <f t="shared" si="75"/>
        <v>2.2510196371999172</v>
      </c>
      <c r="FQ46" s="766" t="b">
        <f t="shared" si="76"/>
        <v>0</v>
      </c>
      <c r="FR46" s="673"/>
      <c r="FS46" s="767">
        <f t="shared" si="77"/>
        <v>3.8279463557806581</v>
      </c>
      <c r="FT46" s="766">
        <f t="shared" si="78"/>
        <v>3.4464870819165272E-2</v>
      </c>
      <c r="FU46" s="766">
        <f t="shared" si="79"/>
        <v>2.305146724968087E-3</v>
      </c>
      <c r="FV46" s="766">
        <f t="shared" si="80"/>
        <v>5.274810247220608</v>
      </c>
      <c r="FW46" s="766">
        <f t="shared" si="81"/>
        <v>2.6060699035769241</v>
      </c>
      <c r="FX46" s="766">
        <f t="shared" si="82"/>
        <v>5.2243843510594701</v>
      </c>
      <c r="FY46" s="766">
        <f t="shared" si="83"/>
        <v>10.273173910916393</v>
      </c>
      <c r="FZ46" s="766">
        <f t="shared" si="84"/>
        <v>2.4975828447290995</v>
      </c>
      <c r="GA46" s="766">
        <f t="shared" si="85"/>
        <v>3.5527528859481001</v>
      </c>
      <c r="GB46" s="766">
        <f t="shared" si="86"/>
        <v>43.081088523956588</v>
      </c>
      <c r="GC46" s="766">
        <f t="shared" si="87"/>
        <v>6.9837256394654847</v>
      </c>
      <c r="GD46" s="766">
        <f t="shared" si="88"/>
        <v>32.937886404864642</v>
      </c>
      <c r="GE46" s="766">
        <f t="shared" si="89"/>
        <v>14.971766547665744</v>
      </c>
      <c r="GF46" s="766">
        <f t="shared" si="90"/>
        <v>6.0556234345540494</v>
      </c>
      <c r="GG46" s="766">
        <f t="shared" si="91"/>
        <v>3.8279463557806581</v>
      </c>
    </row>
    <row r="47" spans="1:189" ht="15.5">
      <c r="B47" s="292">
        <v>7</v>
      </c>
      <c r="C47" s="675"/>
      <c r="D47" s="869"/>
      <c r="E47" s="869"/>
      <c r="F47" s="869"/>
      <c r="G47" s="869"/>
      <c r="H47" s="869"/>
      <c r="I47" s="869"/>
      <c r="J47" s="671"/>
      <c r="K47" s="870"/>
      <c r="L47" s="304" t="str">
        <f t="shared" si="111"/>
        <v/>
      </c>
      <c r="M47" s="295" t="str">
        <f t="shared" si="112"/>
        <v/>
      </c>
      <c r="N47" s="296" t="str">
        <f t="shared" si="113"/>
        <v/>
      </c>
      <c r="O47" s="1056" t="s">
        <v>925</v>
      </c>
      <c r="P47" s="1057"/>
      <c r="Q47" s="1058"/>
      <c r="R47" s="782">
        <f>IF(ISNUMBER(AX88),AX88,"")</f>
        <v>3.3014552363432688</v>
      </c>
      <c r="S47" s="818"/>
      <c r="T47" s="819"/>
      <c r="U47" s="756" t="s">
        <v>751</v>
      </c>
      <c r="V47" s="757"/>
      <c r="W47" s="808">
        <f t="shared" si="106"/>
        <v>26.221856578531987</v>
      </c>
      <c r="X47" s="814">
        <f t="shared" si="120"/>
        <v>35.378675908589429</v>
      </c>
      <c r="Y47" s="814"/>
      <c r="Z47" s="855">
        <f t="shared" si="121"/>
        <v>42.108291121362733</v>
      </c>
      <c r="AA47" s="161"/>
      <c r="AB47" s="161"/>
      <c r="AC47" s="161"/>
      <c r="AD47" s="161"/>
      <c r="AE47" s="161"/>
      <c r="AF47" s="161"/>
      <c r="AG47" s="161"/>
      <c r="AH47" s="161"/>
      <c r="AI47" s="161"/>
      <c r="AJ47" s="161"/>
      <c r="AK47" s="168"/>
      <c r="AL47" s="161"/>
      <c r="AM47" s="161"/>
      <c r="AN47" s="160" t="str">
        <f t="shared" si="114"/>
        <v/>
      </c>
      <c r="AO47" s="160" t="str">
        <f t="shared" si="115"/>
        <v/>
      </c>
      <c r="AP47" s="160" t="str">
        <f t="shared" si="116"/>
        <v/>
      </c>
      <c r="AQ47" s="160">
        <f>AVERAGE(D41:D47)</f>
        <v>17</v>
      </c>
      <c r="AR47" s="160">
        <f>AVERAGE(E41:E47)</f>
        <v>8</v>
      </c>
      <c r="AS47" s="160">
        <f>AVERAGE(AT41:AT47)</f>
        <v>3.6833333333333336</v>
      </c>
      <c r="AT47" s="46" t="str">
        <f t="shared" si="108"/>
        <v/>
      </c>
      <c r="AU47" s="59">
        <f t="shared" si="109"/>
        <v>0</v>
      </c>
      <c r="AV47" s="59" t="str">
        <f t="shared" si="110"/>
        <v/>
      </c>
      <c r="AW47" s="730" t="str">
        <f t="shared" si="117"/>
        <v>No Data</v>
      </c>
      <c r="AX47" s="737">
        <f t="shared" si="118"/>
        <v>0</v>
      </c>
      <c r="AY47" s="737" t="str">
        <f t="shared" si="119"/>
        <v/>
      </c>
      <c r="BA47" s="699"/>
      <c r="BY47" s="753" t="b">
        <f t="shared" si="94"/>
        <v>0</v>
      </c>
      <c r="BZ47" s="753">
        <f t="shared" si="19"/>
        <v>15.593718230627037</v>
      </c>
      <c r="CA47" s="751">
        <v>26</v>
      </c>
      <c r="CB47" s="752">
        <f t="shared" si="102"/>
        <v>20</v>
      </c>
      <c r="CC47" s="673">
        <f t="shared" si="20"/>
        <v>4.4062817693729626</v>
      </c>
      <c r="CD47" s="91">
        <f t="shared" si="9"/>
        <v>2</v>
      </c>
      <c r="CE47" s="752" t="b">
        <f t="shared" si="21"/>
        <v>0</v>
      </c>
      <c r="CF47" s="673"/>
      <c r="CG47" s="752">
        <f t="shared" si="22"/>
        <v>4.4062817693729626</v>
      </c>
      <c r="CH47" s="752">
        <f t="shared" si="23"/>
        <v>6.3814284124495788E-2</v>
      </c>
      <c r="CI47" s="752">
        <f t="shared" si="24"/>
        <v>4.2681514411469709E-3</v>
      </c>
      <c r="CJ47" s="755">
        <f t="shared" si="25"/>
        <v>5.0299864377091836</v>
      </c>
      <c r="CK47" s="755">
        <f t="shared" si="26"/>
        <v>2.5458488727903852</v>
      </c>
      <c r="CL47" s="755">
        <f t="shared" si="27"/>
        <v>3.9792435431952113</v>
      </c>
      <c r="CM47" s="755">
        <f t="shared" si="28"/>
        <v>7.8247422483082563</v>
      </c>
      <c r="CN47" s="755">
        <f t="shared" si="29"/>
        <v>2.3015100122352901</v>
      </c>
      <c r="CO47" s="755">
        <f t="shared" si="30"/>
        <v>3.2812521653955828</v>
      </c>
      <c r="CP47" s="755">
        <f t="shared" si="31"/>
        <v>79.767855155619728</v>
      </c>
      <c r="CQ47" s="755">
        <f t="shared" si="32"/>
        <v>12.930889964530271</v>
      </c>
      <c r="CR47" s="755">
        <f t="shared" si="95"/>
        <v>17.789120658085412</v>
      </c>
      <c r="CS47" s="755">
        <f t="shared" si="33"/>
        <v>8.0859639354933694</v>
      </c>
      <c r="CT47" s="755">
        <f t="shared" si="34"/>
        <v>4.4062817693729626</v>
      </c>
      <c r="CU47" s="755">
        <f t="shared" si="35"/>
        <v>3.4561230293141372</v>
      </c>
      <c r="CX47" s="755"/>
      <c r="CY47" s="755"/>
      <c r="CZ47" s="755"/>
      <c r="DA47" s="755"/>
      <c r="DB47" s="755"/>
      <c r="DC47" s="755"/>
      <c r="DD47" s="755" t="b">
        <f t="shared" si="96"/>
        <v>0</v>
      </c>
      <c r="DE47" s="755">
        <f t="shared" si="36"/>
        <v>31.729114359489692</v>
      </c>
      <c r="DF47" s="755">
        <v>26</v>
      </c>
      <c r="DG47" s="755">
        <f t="shared" si="97"/>
        <v>37</v>
      </c>
      <c r="DH47" s="673">
        <f t="shared" si="37"/>
        <v>5.2708856405103077</v>
      </c>
      <c r="DI47" s="673">
        <f t="shared" si="38"/>
        <v>2</v>
      </c>
      <c r="DJ47" s="766" t="b">
        <f t="shared" si="39"/>
        <v>0</v>
      </c>
      <c r="DK47" s="673"/>
      <c r="DL47" s="766">
        <f t="shared" si="40"/>
        <v>5.2708856405103077</v>
      </c>
      <c r="DM47" s="766">
        <f t="shared" si="41"/>
        <v>3.4921236088963997E-2</v>
      </c>
      <c r="DN47" s="766">
        <f t="shared" si="42"/>
        <v>2.3356702372303384E-3</v>
      </c>
      <c r="DO47" s="766">
        <f t="shared" si="43"/>
        <v>5.2707642147857108</v>
      </c>
      <c r="DP47" s="766">
        <f t="shared" si="44"/>
        <v>2.6051005575823925</v>
      </c>
      <c r="DQ47" s="766">
        <f t="shared" si="45"/>
        <v>4.6265535547222223</v>
      </c>
      <c r="DR47" s="766">
        <f t="shared" si="46"/>
        <v>9.0976057812804658</v>
      </c>
      <c r="DS47" s="766">
        <f t="shared" si="47"/>
        <v>2.4932438197882263</v>
      </c>
      <c r="DT47" s="766">
        <f t="shared" si="48"/>
        <v>3.5467404545019789</v>
      </c>
      <c r="DU47" s="766">
        <f t="shared" si="49"/>
        <v>43.651545111204996</v>
      </c>
      <c r="DV47" s="766">
        <f t="shared" si="50"/>
        <v>7.0762003756215428</v>
      </c>
      <c r="DW47" s="766">
        <f t="shared" si="51"/>
        <v>32.507440375478353</v>
      </c>
      <c r="DX47" s="766">
        <f t="shared" si="52"/>
        <v>14.776109261581068</v>
      </c>
      <c r="DY47" s="766">
        <f t="shared" si="53"/>
        <v>5.2708856405103077</v>
      </c>
      <c r="DZ47" s="766">
        <f t="shared" si="54"/>
        <v>3.8197432751600595</v>
      </c>
      <c r="EB47" s="755"/>
      <c r="EC47" s="755"/>
      <c r="ED47" s="755"/>
      <c r="EE47" s="755"/>
      <c r="EF47" s="755" t="b">
        <f t="shared" si="98"/>
        <v>0</v>
      </c>
      <c r="EG47" s="755">
        <f t="shared" si="55"/>
        <v>15.593718230627037</v>
      </c>
      <c r="EH47" s="755">
        <v>26</v>
      </c>
      <c r="EI47" s="755">
        <f t="shared" si="103"/>
        <v>20</v>
      </c>
      <c r="EJ47" s="673">
        <f t="shared" si="56"/>
        <v>4.4062817693729626</v>
      </c>
      <c r="EK47" s="673">
        <f t="shared" si="57"/>
        <v>2.2510196371999172</v>
      </c>
      <c r="EL47" s="755" t="b">
        <f t="shared" si="58"/>
        <v>0</v>
      </c>
      <c r="EM47" s="673"/>
      <c r="EN47" s="755">
        <f t="shared" si="59"/>
        <v>4.4062817693729626</v>
      </c>
      <c r="EO47" s="755">
        <f t="shared" si="60"/>
        <v>6.3814284124495788E-2</v>
      </c>
      <c r="EP47" s="755">
        <f t="shared" si="61"/>
        <v>4.2681514411469709E-3</v>
      </c>
      <c r="EQ47" s="755">
        <f t="shared" si="62"/>
        <v>5.0299864377091836</v>
      </c>
      <c r="ER47" s="755">
        <f t="shared" si="63"/>
        <v>2.5458488727903852</v>
      </c>
      <c r="ES47" s="755">
        <f t="shared" si="64"/>
        <v>3.9792435431952113</v>
      </c>
      <c r="ET47" s="755">
        <f t="shared" si="65"/>
        <v>7.8247422483082563</v>
      </c>
      <c r="EU47" s="755">
        <f t="shared" si="66"/>
        <v>2.3015100122352901</v>
      </c>
      <c r="EV47" s="755">
        <f t="shared" si="67"/>
        <v>3.2812521653955828</v>
      </c>
      <c r="EW47" s="755">
        <f t="shared" si="68"/>
        <v>79.767855155619728</v>
      </c>
      <c r="EX47" s="755">
        <f t="shared" si="69"/>
        <v>12.930889964530271</v>
      </c>
      <c r="EY47" s="755">
        <f t="shared" si="99"/>
        <v>17.789120658085412</v>
      </c>
      <c r="EZ47" s="755">
        <f t="shared" si="70"/>
        <v>8.0859639354933694</v>
      </c>
      <c r="FA47" s="755">
        <f t="shared" si="71"/>
        <v>4.4062817693729626</v>
      </c>
      <c r="FB47" s="755">
        <f t="shared" si="72"/>
        <v>3.4561230293141372</v>
      </c>
      <c r="FC47" s="755"/>
      <c r="FD47" s="755"/>
      <c r="FE47" s="755"/>
      <c r="FF47" s="755"/>
      <c r="FG47" s="755"/>
      <c r="FH47" s="755"/>
      <c r="FI47" s="755"/>
      <c r="FJ47" s="755"/>
      <c r="FK47" s="755" t="b">
        <f t="shared" si="100"/>
        <v>0</v>
      </c>
      <c r="FL47" s="755">
        <f t="shared" si="73"/>
        <v>33.180256724839943</v>
      </c>
      <c r="FM47" s="755">
        <v>26</v>
      </c>
      <c r="FN47" s="767">
        <f t="shared" si="101"/>
        <v>37</v>
      </c>
      <c r="FO47" s="673">
        <f t="shared" si="74"/>
        <v>3.8197432751600595</v>
      </c>
      <c r="FP47" s="673">
        <f t="shared" si="75"/>
        <v>2.2510196371999172</v>
      </c>
      <c r="FQ47" s="766" t="b">
        <f t="shared" si="76"/>
        <v>0</v>
      </c>
      <c r="FR47" s="673"/>
      <c r="FS47" s="767">
        <f t="shared" si="77"/>
        <v>3.8197432751600595</v>
      </c>
      <c r="FT47" s="766">
        <f t="shared" si="78"/>
        <v>3.4921236088963997E-2</v>
      </c>
      <c r="FU47" s="766">
        <f t="shared" si="79"/>
        <v>2.3356702372303384E-3</v>
      </c>
      <c r="FV47" s="766">
        <f t="shared" si="80"/>
        <v>5.2707642147857108</v>
      </c>
      <c r="FW47" s="766">
        <f t="shared" si="81"/>
        <v>2.6051005575823925</v>
      </c>
      <c r="FX47" s="766">
        <f t="shared" si="82"/>
        <v>5.2072314521184015</v>
      </c>
      <c r="FY47" s="766">
        <f t="shared" si="83"/>
        <v>10.239444632582911</v>
      </c>
      <c r="FZ47" s="766">
        <f t="shared" si="84"/>
        <v>2.4932438197882263</v>
      </c>
      <c r="GA47" s="766">
        <f t="shared" si="85"/>
        <v>3.5467404545019789</v>
      </c>
      <c r="GB47" s="766">
        <f t="shared" si="86"/>
        <v>43.651545111204996</v>
      </c>
      <c r="GC47" s="766">
        <f t="shared" si="87"/>
        <v>7.0762003756215428</v>
      </c>
      <c r="GD47" s="766">
        <f t="shared" si="88"/>
        <v>32.507440375478353</v>
      </c>
      <c r="GE47" s="766">
        <f t="shared" si="89"/>
        <v>14.776109261581068</v>
      </c>
      <c r="GF47" s="766">
        <f t="shared" si="90"/>
        <v>6.03328903075246</v>
      </c>
      <c r="GG47" s="766">
        <f t="shared" si="91"/>
        <v>3.8197432751600595</v>
      </c>
    </row>
    <row r="48" spans="1:189" ht="16" thickBot="1">
      <c r="B48" s="292">
        <v>8</v>
      </c>
      <c r="C48" s="666"/>
      <c r="D48" s="869"/>
      <c r="E48" s="869"/>
      <c r="F48" s="869"/>
      <c r="G48" s="869"/>
      <c r="H48" s="869"/>
      <c r="I48" s="869"/>
      <c r="J48" s="671"/>
      <c r="K48" s="870"/>
      <c r="L48" s="304" t="str">
        <f t="shared" si="111"/>
        <v/>
      </c>
      <c r="M48" s="295" t="str">
        <f t="shared" si="112"/>
        <v/>
      </c>
      <c r="N48" s="296" t="str">
        <f t="shared" si="113"/>
        <v/>
      </c>
      <c r="O48" s="1073" t="s">
        <v>926</v>
      </c>
      <c r="P48" s="1074"/>
      <c r="Q48" s="1075"/>
      <c r="R48" s="783">
        <f>IF(ISNUMBER(AX89),AX89,"")</f>
        <v>2.9677126744634421</v>
      </c>
      <c r="S48" s="822"/>
      <c r="T48" s="823"/>
      <c r="U48" s="758" t="s">
        <v>917</v>
      </c>
      <c r="V48" s="759"/>
      <c r="W48" s="809">
        <f t="shared" si="106"/>
        <v>32.110567567294041</v>
      </c>
      <c r="X48" s="814">
        <f t="shared" si="120"/>
        <v>39.902286319087658</v>
      </c>
      <c r="Y48" s="828"/>
      <c r="Z48" s="855">
        <f t="shared" si="121"/>
        <v>40.429156040308229</v>
      </c>
      <c r="AA48" s="161"/>
      <c r="AB48" s="161"/>
      <c r="AC48" s="161"/>
      <c r="AD48" s="161"/>
      <c r="AE48" s="161"/>
      <c r="AF48" s="161"/>
      <c r="AG48" s="161"/>
      <c r="AH48" s="161"/>
      <c r="AI48" s="161"/>
      <c r="AJ48" s="161"/>
      <c r="AK48" s="168"/>
      <c r="AL48" s="161"/>
      <c r="AM48" s="161"/>
      <c r="AN48" s="160" t="str">
        <f t="shared" si="114"/>
        <v/>
      </c>
      <c r="AO48" s="160" t="str">
        <f t="shared" si="115"/>
        <v/>
      </c>
      <c r="AP48" s="160" t="str">
        <f t="shared" si="116"/>
        <v/>
      </c>
      <c r="AQ48" s="160">
        <f>AVERAGE(D41:D48)</f>
        <v>17</v>
      </c>
      <c r="AR48" s="160">
        <f>AVERAGE(E41:E48)</f>
        <v>8</v>
      </c>
      <c r="AS48" s="160">
        <f>AVERAGE(AT41:AT48)</f>
        <v>3.6833333333333336</v>
      </c>
      <c r="AT48" s="46" t="str">
        <f t="shared" si="108"/>
        <v/>
      </c>
      <c r="AU48" s="59">
        <f t="shared" si="109"/>
        <v>0</v>
      </c>
      <c r="AV48" s="59" t="str">
        <f t="shared" si="110"/>
        <v/>
      </c>
      <c r="AW48" s="730" t="str">
        <f t="shared" si="117"/>
        <v>No Data</v>
      </c>
      <c r="AX48" s="737">
        <f t="shared" si="118"/>
        <v>0</v>
      </c>
      <c r="AY48" s="737" t="str">
        <f t="shared" si="119"/>
        <v/>
      </c>
      <c r="AZ48" s="59"/>
      <c r="BA48" s="87" t="s">
        <v>616</v>
      </c>
      <c r="BB48" s="59"/>
      <c r="BC48" s="59"/>
      <c r="BY48" s="753" t="b">
        <f t="shared" si="94"/>
        <v>0</v>
      </c>
      <c r="BZ48" s="753">
        <f t="shared" si="19"/>
        <v>16.061183225745754</v>
      </c>
      <c r="CA48" s="751">
        <v>27</v>
      </c>
      <c r="CB48" s="752">
        <f t="shared" si="102"/>
        <v>20.5</v>
      </c>
      <c r="CC48" s="673">
        <f t="shared" si="20"/>
        <v>4.4388167742542466</v>
      </c>
      <c r="CD48" s="91">
        <f t="shared" si="9"/>
        <v>2</v>
      </c>
      <c r="CE48" s="752" t="b">
        <f t="shared" si="21"/>
        <v>0</v>
      </c>
      <c r="CF48" s="673"/>
      <c r="CG48" s="752">
        <f t="shared" si="22"/>
        <v>4.4388167742542466</v>
      </c>
      <c r="CH48" s="752">
        <f t="shared" si="23"/>
        <v>6.2288591937096294E-2</v>
      </c>
      <c r="CI48" s="752">
        <f t="shared" si="24"/>
        <v>4.1661071199148823E-3</v>
      </c>
      <c r="CJ48" s="755">
        <f t="shared" si="25"/>
        <v>5.0419896749291677</v>
      </c>
      <c r="CK48" s="755">
        <f t="shared" si="26"/>
        <v>2.5488771074934253</v>
      </c>
      <c r="CL48" s="755">
        <f t="shared" si="27"/>
        <v>4.0033896981367043</v>
      </c>
      <c r="CM48" s="755">
        <f t="shared" si="28"/>
        <v>7.8722229909805668</v>
      </c>
      <c r="CN48" s="755">
        <f t="shared" si="29"/>
        <v>2.3089438847754087</v>
      </c>
      <c r="CO48" s="755">
        <f t="shared" si="30"/>
        <v>3.2915383830965919</v>
      </c>
      <c r="CP48" s="755">
        <f t="shared" si="31"/>
        <v>77.860739921370367</v>
      </c>
      <c r="CQ48" s="755">
        <f t="shared" si="32"/>
        <v>12.621734137340898</v>
      </c>
      <c r="CR48" s="755">
        <f t="shared" si="95"/>
        <v>18.224846070471624</v>
      </c>
      <c r="CS48" s="755">
        <f t="shared" si="33"/>
        <v>8.2840209411234653</v>
      </c>
      <c r="CT48" s="755">
        <f t="shared" si="34"/>
        <v>4.4388167742542466</v>
      </c>
      <c r="CU48" s="755">
        <f t="shared" si="35"/>
        <v>3.4702625143341397</v>
      </c>
      <c r="CX48" s="755"/>
      <c r="CY48" s="755"/>
      <c r="CZ48" s="755"/>
      <c r="DA48" s="755"/>
      <c r="DB48" s="755"/>
      <c r="DC48" s="755"/>
      <c r="DD48" s="755" t="b">
        <f t="shared" si="96"/>
        <v>0</v>
      </c>
      <c r="DE48" s="755">
        <f t="shared" si="36"/>
        <v>31.249497533734953</v>
      </c>
      <c r="DF48" s="755">
        <v>27</v>
      </c>
      <c r="DG48" s="755">
        <f t="shared" si="97"/>
        <v>36.5</v>
      </c>
      <c r="DH48" s="673">
        <f t="shared" si="37"/>
        <v>5.2505024662650479</v>
      </c>
      <c r="DI48" s="673">
        <f t="shared" si="38"/>
        <v>2</v>
      </c>
      <c r="DJ48" s="766" t="b">
        <f t="shared" si="39"/>
        <v>0</v>
      </c>
      <c r="DK48" s="673"/>
      <c r="DL48" s="766">
        <f t="shared" si="40"/>
        <v>5.2505024662650479</v>
      </c>
      <c r="DM48" s="766">
        <f t="shared" si="41"/>
        <v>3.538997780123531E-2</v>
      </c>
      <c r="DN48" s="766">
        <f t="shared" si="42"/>
        <v>2.3670215348622825E-3</v>
      </c>
      <c r="DO48" s="766">
        <f t="shared" si="43"/>
        <v>5.2666168453547542</v>
      </c>
      <c r="DP48" s="766">
        <f t="shared" si="44"/>
        <v>2.6041060485230063</v>
      </c>
      <c r="DQ48" s="766">
        <f t="shared" si="45"/>
        <v>4.6111571469726895</v>
      </c>
      <c r="DR48" s="766">
        <f t="shared" si="46"/>
        <v>9.0673304485740864</v>
      </c>
      <c r="DS48" s="766">
        <f t="shared" si="47"/>
        <v>2.488852706389836</v>
      </c>
      <c r="DT48" s="766">
        <f t="shared" si="48"/>
        <v>3.5406560315541036</v>
      </c>
      <c r="DU48" s="766">
        <f t="shared" si="49"/>
        <v>44.237472251544141</v>
      </c>
      <c r="DV48" s="766">
        <f t="shared" si="50"/>
        <v>7.1711829894097185</v>
      </c>
      <c r="DW48" s="766">
        <f t="shared" si="51"/>
        <v>32.076877990027306</v>
      </c>
      <c r="DX48" s="766">
        <f t="shared" si="52"/>
        <v>14.580399086376048</v>
      </c>
      <c r="DY48" s="766">
        <f t="shared" si="53"/>
        <v>5.2505024662650479</v>
      </c>
      <c r="DZ48" s="766">
        <f t="shared" si="54"/>
        <v>3.8114405479621092</v>
      </c>
      <c r="EB48" s="755"/>
      <c r="EC48" s="755"/>
      <c r="ED48" s="755"/>
      <c r="EE48" s="755"/>
      <c r="EF48" s="755" t="b">
        <f t="shared" si="98"/>
        <v>0</v>
      </c>
      <c r="EG48" s="755">
        <f t="shared" si="55"/>
        <v>16.061183225745754</v>
      </c>
      <c r="EH48" s="755">
        <v>27</v>
      </c>
      <c r="EI48" s="755">
        <f t="shared" si="103"/>
        <v>20.5</v>
      </c>
      <c r="EJ48" s="673">
        <f t="shared" si="56"/>
        <v>4.4388167742542466</v>
      </c>
      <c r="EK48" s="673">
        <f t="shared" si="57"/>
        <v>2.2510196371999172</v>
      </c>
      <c r="EL48" s="755" t="b">
        <f t="shared" si="58"/>
        <v>0</v>
      </c>
      <c r="EM48" s="673"/>
      <c r="EN48" s="755">
        <f t="shared" si="59"/>
        <v>4.4388167742542466</v>
      </c>
      <c r="EO48" s="755">
        <f t="shared" si="60"/>
        <v>6.2288591937096294E-2</v>
      </c>
      <c r="EP48" s="755">
        <f t="shared" si="61"/>
        <v>4.1661071199148823E-3</v>
      </c>
      <c r="EQ48" s="755">
        <f t="shared" si="62"/>
        <v>5.0419896749291677</v>
      </c>
      <c r="ER48" s="755">
        <f t="shared" si="63"/>
        <v>2.5488771074934253</v>
      </c>
      <c r="ES48" s="755">
        <f t="shared" si="64"/>
        <v>4.0033896981367043</v>
      </c>
      <c r="ET48" s="755">
        <f t="shared" si="65"/>
        <v>7.8722229909805668</v>
      </c>
      <c r="EU48" s="755">
        <f t="shared" si="66"/>
        <v>2.3089438847754087</v>
      </c>
      <c r="EV48" s="755">
        <f t="shared" si="67"/>
        <v>3.2915383830965919</v>
      </c>
      <c r="EW48" s="755">
        <f t="shared" si="68"/>
        <v>77.860739921370367</v>
      </c>
      <c r="EX48" s="755">
        <f t="shared" si="69"/>
        <v>12.621734137340898</v>
      </c>
      <c r="EY48" s="755">
        <f t="shared" si="99"/>
        <v>18.224846070471624</v>
      </c>
      <c r="EZ48" s="755">
        <f t="shared" si="70"/>
        <v>8.2840209411234653</v>
      </c>
      <c r="FA48" s="755">
        <f t="shared" si="71"/>
        <v>4.4388167742542466</v>
      </c>
      <c r="FB48" s="755">
        <f t="shared" si="72"/>
        <v>3.4702625143341397</v>
      </c>
      <c r="FC48" s="755"/>
      <c r="FD48" s="755"/>
      <c r="FE48" s="755"/>
      <c r="FF48" s="755"/>
      <c r="FG48" s="755"/>
      <c r="FH48" s="755"/>
      <c r="FI48" s="755"/>
      <c r="FJ48" s="755"/>
      <c r="FK48" s="755" t="b">
        <f t="shared" si="100"/>
        <v>0</v>
      </c>
      <c r="FL48" s="755">
        <f t="shared" si="73"/>
        <v>32.688559452037893</v>
      </c>
      <c r="FM48" s="755">
        <v>27</v>
      </c>
      <c r="FN48" s="767">
        <f t="shared" si="101"/>
        <v>36.5</v>
      </c>
      <c r="FO48" s="673">
        <f t="shared" si="74"/>
        <v>3.8114405479621092</v>
      </c>
      <c r="FP48" s="673">
        <f t="shared" si="75"/>
        <v>2.2510196371999172</v>
      </c>
      <c r="FQ48" s="766" t="b">
        <f t="shared" si="76"/>
        <v>0</v>
      </c>
      <c r="FR48" s="673"/>
      <c r="FS48" s="767">
        <f t="shared" si="77"/>
        <v>3.8114405479621092</v>
      </c>
      <c r="FT48" s="766">
        <f t="shared" si="78"/>
        <v>3.538997780123531E-2</v>
      </c>
      <c r="FU48" s="766">
        <f t="shared" si="79"/>
        <v>2.3670215348622825E-3</v>
      </c>
      <c r="FV48" s="766">
        <f t="shared" si="80"/>
        <v>5.2666168453547542</v>
      </c>
      <c r="FW48" s="766">
        <f t="shared" si="81"/>
        <v>2.6041060485230063</v>
      </c>
      <c r="FX48" s="766">
        <f t="shared" si="82"/>
        <v>5.1899026440251346</v>
      </c>
      <c r="FY48" s="766">
        <f t="shared" si="83"/>
        <v>10.205369448360502</v>
      </c>
      <c r="FZ48" s="766">
        <f t="shared" si="84"/>
        <v>2.488852706389836</v>
      </c>
      <c r="GA48" s="766">
        <f t="shared" si="85"/>
        <v>3.5406560315541036</v>
      </c>
      <c r="GB48" s="766">
        <f t="shared" si="86"/>
        <v>44.237472251544141</v>
      </c>
      <c r="GC48" s="766">
        <f t="shared" si="87"/>
        <v>7.1711829894097185</v>
      </c>
      <c r="GD48" s="766">
        <f t="shared" si="88"/>
        <v>32.076877990027306</v>
      </c>
      <c r="GE48" s="766">
        <f t="shared" si="89"/>
        <v>14.580399086376048</v>
      </c>
      <c r="GF48" s="766">
        <f t="shared" si="90"/>
        <v>6.0107147934962306</v>
      </c>
      <c r="GG48" s="766">
        <f t="shared" si="91"/>
        <v>3.8114405479621092</v>
      </c>
    </row>
    <row r="49" spans="1:189" ht="16.25" customHeight="1" thickTop="1">
      <c r="B49" s="292">
        <v>9</v>
      </c>
      <c r="C49" s="666"/>
      <c r="D49" s="869"/>
      <c r="E49" s="869"/>
      <c r="F49" s="869"/>
      <c r="G49" s="869"/>
      <c r="H49" s="869"/>
      <c r="I49" s="869"/>
      <c r="J49" s="671"/>
      <c r="K49" s="870"/>
      <c r="L49" s="304" t="str">
        <f t="shared" si="111"/>
        <v/>
      </c>
      <c r="M49" s="877" t="str">
        <f t="shared" si="112"/>
        <v/>
      </c>
      <c r="N49" s="296" t="str">
        <f t="shared" si="113"/>
        <v/>
      </c>
      <c r="O49" s="1079"/>
      <c r="P49" s="1080"/>
      <c r="Q49" s="1080"/>
      <c r="R49" s="785" t="s">
        <v>929</v>
      </c>
      <c r="S49" s="1076" t="s">
        <v>1052</v>
      </c>
      <c r="T49" s="1076"/>
      <c r="U49" s="785" t="s">
        <v>1422</v>
      </c>
      <c r="V49" s="786" t="s">
        <v>1423</v>
      </c>
      <c r="W49" s="1081" t="s">
        <v>1663</v>
      </c>
      <c r="X49" s="1082"/>
      <c r="Y49" s="1082"/>
      <c r="Z49" s="1082"/>
      <c r="AA49" s="161"/>
      <c r="AB49" s="161"/>
      <c r="AC49" s="161"/>
      <c r="AD49" s="161"/>
      <c r="AE49" s="161"/>
      <c r="AF49" s="161"/>
      <c r="AG49" s="161"/>
      <c r="AH49" s="161"/>
      <c r="AI49" s="161"/>
      <c r="AJ49" s="161"/>
      <c r="AK49" s="168"/>
      <c r="AL49" s="161"/>
      <c r="AM49" s="161"/>
      <c r="AN49" s="160" t="str">
        <f t="shared" si="114"/>
        <v/>
      </c>
      <c r="AO49" s="160" t="str">
        <f t="shared" si="115"/>
        <v/>
      </c>
      <c r="AP49" s="160" t="str">
        <f t="shared" si="116"/>
        <v/>
      </c>
      <c r="AQ49" s="160">
        <f>AVERAGE(D41:D49)</f>
        <v>17</v>
      </c>
      <c r="AR49" s="160">
        <f>AVERAGE(E41:E49)</f>
        <v>8</v>
      </c>
      <c r="AS49" s="160">
        <f>AVERAGE(AT41:AT49)</f>
        <v>3.6833333333333336</v>
      </c>
      <c r="AT49" s="46" t="str">
        <f t="shared" si="108"/>
        <v/>
      </c>
      <c r="AU49" s="59">
        <f t="shared" si="109"/>
        <v>0</v>
      </c>
      <c r="AV49" s="59" t="str">
        <f t="shared" si="110"/>
        <v/>
      </c>
      <c r="AW49" s="730" t="str">
        <f t="shared" si="117"/>
        <v>No Data</v>
      </c>
      <c r="AX49" s="737">
        <f t="shared" si="118"/>
        <v>0</v>
      </c>
      <c r="AY49" s="737" t="str">
        <f t="shared" si="119"/>
        <v/>
      </c>
      <c r="BY49" s="753" t="b">
        <f t="shared" si="94"/>
        <v>0</v>
      </c>
      <c r="BZ49" s="753">
        <f t="shared" si="19"/>
        <v>16.529263475490897</v>
      </c>
      <c r="CA49" s="751">
        <v>28</v>
      </c>
      <c r="CB49" s="752">
        <f t="shared" si="102"/>
        <v>21</v>
      </c>
      <c r="CC49" s="673">
        <f t="shared" si="20"/>
        <v>4.4707365245091042</v>
      </c>
      <c r="CD49" s="91">
        <f t="shared" si="9"/>
        <v>2</v>
      </c>
      <c r="CE49" s="752" t="b">
        <f t="shared" si="21"/>
        <v>0</v>
      </c>
      <c r="CF49" s="673"/>
      <c r="CG49" s="752">
        <f t="shared" si="22"/>
        <v>4.4707365245091042</v>
      </c>
      <c r="CH49" s="752">
        <f t="shared" si="23"/>
        <v>6.0834842575317259E-2</v>
      </c>
      <c r="CI49" s="752">
        <f t="shared" si="24"/>
        <v>4.0688746190936141E-3</v>
      </c>
      <c r="CJ49" s="755">
        <f t="shared" si="25"/>
        <v>5.0534964523890347</v>
      </c>
      <c r="CK49" s="755">
        <f t="shared" si="26"/>
        <v>2.5517726249365862</v>
      </c>
      <c r="CL49" s="755">
        <f t="shared" si="27"/>
        <v>4.0270952197830514</v>
      </c>
      <c r="CM49" s="755">
        <f t="shared" si="28"/>
        <v>7.9188372770203239</v>
      </c>
      <c r="CN49" s="755">
        <f t="shared" si="29"/>
        <v>2.3162192438853406</v>
      </c>
      <c r="CO49" s="755">
        <f t="shared" si="30"/>
        <v>3.3016058563253732</v>
      </c>
      <c r="CP49" s="755">
        <f t="shared" si="31"/>
        <v>76.043553219146574</v>
      </c>
      <c r="CQ49" s="755">
        <f t="shared" si="32"/>
        <v>12.327156312155283</v>
      </c>
      <c r="CR49" s="755">
        <f t="shared" si="95"/>
        <v>18.660358964429847</v>
      </c>
      <c r="CS49" s="755">
        <f t="shared" si="33"/>
        <v>8.4819813474681123</v>
      </c>
      <c r="CT49" s="755">
        <f t="shared" si="34"/>
        <v>4.4707365245091042</v>
      </c>
      <c r="CU49" s="755">
        <f t="shared" si="35"/>
        <v>3.4840973022459591</v>
      </c>
      <c r="CX49" s="755"/>
      <c r="CY49" s="755"/>
      <c r="CZ49" s="755"/>
      <c r="DA49" s="755"/>
      <c r="DB49" s="755"/>
      <c r="DC49" s="755"/>
      <c r="DD49" s="755" t="b">
        <f t="shared" si="96"/>
        <v>0</v>
      </c>
      <c r="DE49" s="755">
        <f t="shared" si="36"/>
        <v>30.770101534402642</v>
      </c>
      <c r="DF49" s="755">
        <v>28</v>
      </c>
      <c r="DG49" s="755">
        <f t="shared" si="97"/>
        <v>36</v>
      </c>
      <c r="DH49" s="673">
        <f t="shared" si="37"/>
        <v>5.2298984655973602</v>
      </c>
      <c r="DI49" s="673">
        <f t="shared" si="38"/>
        <v>2</v>
      </c>
      <c r="DJ49" s="766" t="b">
        <f t="shared" si="39"/>
        <v>0</v>
      </c>
      <c r="DK49" s="673"/>
      <c r="DL49" s="766">
        <f t="shared" si="40"/>
        <v>5.2298984655973602</v>
      </c>
      <c r="DM49" s="766">
        <f t="shared" si="41"/>
        <v>3.5871608132687971E-2</v>
      </c>
      <c r="DN49" s="766">
        <f t="shared" si="42"/>
        <v>2.3992348742657198E-3</v>
      </c>
      <c r="DO49" s="766">
        <f t="shared" si="43"/>
        <v>5.2623642656459664</v>
      </c>
      <c r="DP49" s="766">
        <f t="shared" si="44"/>
        <v>2.6030853796927333</v>
      </c>
      <c r="DQ49" s="766">
        <f t="shared" si="45"/>
        <v>4.5956006691742157</v>
      </c>
      <c r="DR49" s="766">
        <f t="shared" si="46"/>
        <v>9.0367403558232287</v>
      </c>
      <c r="DS49" s="766">
        <f t="shared" si="47"/>
        <v>2.484408151904772</v>
      </c>
      <c r="DT49" s="766">
        <f t="shared" si="48"/>
        <v>3.5344977502029034</v>
      </c>
      <c r="DU49" s="766">
        <f t="shared" si="49"/>
        <v>44.839510165859963</v>
      </c>
      <c r="DV49" s="766">
        <f t="shared" si="50"/>
        <v>7.2687772648143358</v>
      </c>
      <c r="DW49" s="766">
        <f t="shared" si="51"/>
        <v>31.646197622390673</v>
      </c>
      <c r="DX49" s="766">
        <f t="shared" si="52"/>
        <v>14.384635282904851</v>
      </c>
      <c r="DY49" s="766">
        <f t="shared" si="53"/>
        <v>5.2298984655973602</v>
      </c>
      <c r="DZ49" s="766">
        <f t="shared" si="54"/>
        <v>3.8030355747196243</v>
      </c>
      <c r="EB49" s="755"/>
      <c r="EC49" s="755"/>
      <c r="ED49" s="755"/>
      <c r="EE49" s="755"/>
      <c r="EF49" s="755" t="b">
        <f t="shared" si="98"/>
        <v>0</v>
      </c>
      <c r="EG49" s="755">
        <f t="shared" si="55"/>
        <v>16.529263475490897</v>
      </c>
      <c r="EH49" s="755">
        <v>28</v>
      </c>
      <c r="EI49" s="755">
        <f t="shared" si="103"/>
        <v>21</v>
      </c>
      <c r="EJ49" s="673">
        <f t="shared" si="56"/>
        <v>4.4707365245091042</v>
      </c>
      <c r="EK49" s="673">
        <f t="shared" si="57"/>
        <v>2.2510196371999172</v>
      </c>
      <c r="EL49" s="755" t="b">
        <f t="shared" si="58"/>
        <v>0</v>
      </c>
      <c r="EM49" s="673"/>
      <c r="EN49" s="755">
        <f t="shared" si="59"/>
        <v>4.4707365245091042</v>
      </c>
      <c r="EO49" s="755">
        <f t="shared" si="60"/>
        <v>6.0834842575317259E-2</v>
      </c>
      <c r="EP49" s="755">
        <f t="shared" si="61"/>
        <v>4.0688746190936141E-3</v>
      </c>
      <c r="EQ49" s="755">
        <f t="shared" si="62"/>
        <v>5.0534964523890347</v>
      </c>
      <c r="ER49" s="755">
        <f t="shared" si="63"/>
        <v>2.5517726249365862</v>
      </c>
      <c r="ES49" s="755">
        <f t="shared" si="64"/>
        <v>4.0270952197830514</v>
      </c>
      <c r="ET49" s="755">
        <f t="shared" si="65"/>
        <v>7.9188372770203239</v>
      </c>
      <c r="EU49" s="755">
        <f t="shared" si="66"/>
        <v>2.3162192438853406</v>
      </c>
      <c r="EV49" s="755">
        <f t="shared" si="67"/>
        <v>3.3016058563253732</v>
      </c>
      <c r="EW49" s="755">
        <f t="shared" si="68"/>
        <v>76.043553219146574</v>
      </c>
      <c r="EX49" s="755">
        <f t="shared" si="69"/>
        <v>12.327156312155283</v>
      </c>
      <c r="EY49" s="755">
        <f t="shared" si="99"/>
        <v>18.660358964429847</v>
      </c>
      <c r="EZ49" s="755">
        <f t="shared" si="70"/>
        <v>8.4819813474681123</v>
      </c>
      <c r="FA49" s="755">
        <f t="shared" si="71"/>
        <v>4.4707365245091042</v>
      </c>
      <c r="FB49" s="755">
        <f t="shared" si="72"/>
        <v>3.4840973022459591</v>
      </c>
      <c r="FC49" s="755"/>
      <c r="FD49" s="755"/>
      <c r="FE49" s="755"/>
      <c r="FF49" s="755"/>
      <c r="FG49" s="755"/>
      <c r="FH49" s="755"/>
      <c r="FI49" s="755"/>
      <c r="FJ49" s="755"/>
      <c r="FK49" s="755" t="b">
        <f t="shared" si="100"/>
        <v>0</v>
      </c>
      <c r="FL49" s="755">
        <f t="shared" si="73"/>
        <v>32.196964425280377</v>
      </c>
      <c r="FM49" s="755">
        <v>28</v>
      </c>
      <c r="FN49" s="767">
        <f t="shared" si="101"/>
        <v>36</v>
      </c>
      <c r="FO49" s="673">
        <f t="shared" si="74"/>
        <v>3.8030355747196243</v>
      </c>
      <c r="FP49" s="673">
        <f t="shared" si="75"/>
        <v>2.2510196371999172</v>
      </c>
      <c r="FQ49" s="766" t="b">
        <f t="shared" si="76"/>
        <v>0</v>
      </c>
      <c r="FR49" s="673"/>
      <c r="FS49" s="767">
        <f t="shared" si="77"/>
        <v>3.8030355747196243</v>
      </c>
      <c r="FT49" s="766">
        <f t="shared" si="78"/>
        <v>3.5871608132687971E-2</v>
      </c>
      <c r="FU49" s="766">
        <f t="shared" si="79"/>
        <v>2.3992348742657198E-3</v>
      </c>
      <c r="FV49" s="766">
        <f t="shared" si="80"/>
        <v>5.2623642656459664</v>
      </c>
      <c r="FW49" s="766">
        <f t="shared" si="81"/>
        <v>2.6030853796927333</v>
      </c>
      <c r="FX49" s="766">
        <f t="shared" si="82"/>
        <v>5.1723936755201194</v>
      </c>
      <c r="FY49" s="766">
        <f t="shared" si="83"/>
        <v>10.170939998617527</v>
      </c>
      <c r="FZ49" s="766">
        <f t="shared" si="84"/>
        <v>2.484408151904772</v>
      </c>
      <c r="GA49" s="766">
        <f t="shared" si="85"/>
        <v>3.5344977502029034</v>
      </c>
      <c r="GB49" s="766">
        <f t="shared" si="86"/>
        <v>44.839510165859963</v>
      </c>
      <c r="GC49" s="766">
        <f t="shared" si="87"/>
        <v>7.2687772648143358</v>
      </c>
      <c r="GD49" s="766">
        <f t="shared" si="88"/>
        <v>31.646197622390673</v>
      </c>
      <c r="GE49" s="766">
        <f t="shared" si="89"/>
        <v>14.384635282904851</v>
      </c>
      <c r="GF49" s="766">
        <f t="shared" si="90"/>
        <v>5.9878948425616105</v>
      </c>
      <c r="GG49" s="766">
        <f t="shared" si="91"/>
        <v>3.8030355747196243</v>
      </c>
    </row>
    <row r="50" spans="1:189" ht="15.5">
      <c r="B50" s="292">
        <v>10</v>
      </c>
      <c r="C50" s="666"/>
      <c r="D50" s="869"/>
      <c r="E50" s="869"/>
      <c r="F50" s="869"/>
      <c r="G50" s="869"/>
      <c r="H50" s="869"/>
      <c r="I50" s="869"/>
      <c r="J50" s="671"/>
      <c r="K50" s="870"/>
      <c r="L50" s="304" t="str">
        <f t="shared" si="111"/>
        <v/>
      </c>
      <c r="M50" s="295" t="str">
        <f t="shared" si="112"/>
        <v/>
      </c>
      <c r="N50" s="291" t="str">
        <f t="shared" si="113"/>
        <v/>
      </c>
      <c r="O50" s="1102" t="s">
        <v>871</v>
      </c>
      <c r="P50" s="1103"/>
      <c r="Q50" s="1103"/>
      <c r="R50" s="777">
        <f>IF(ISNUMBER(C41),VLOOKUP(AN53,B41:AR52,42,FALSE),"")</f>
        <v>17</v>
      </c>
      <c r="S50" s="1077">
        <f>IF(ISNUMBER(C41),VLOOKUP(AN53,B41:AR52,43,FALSE),"")</f>
        <v>8</v>
      </c>
      <c r="T50" s="1077"/>
      <c r="U50" s="298">
        <f>IF(ISNUMBER(S50),S50/R50,"")</f>
        <v>0.47058823529411764</v>
      </c>
      <c r="V50" s="297">
        <f>IF(ISNUMBER(C41),VLOOKUP(AN53,B40:AT52,45,FALSE),"")</f>
        <v>5</v>
      </c>
      <c r="W50" s="1083"/>
      <c r="X50" s="1084"/>
      <c r="Y50" s="1084"/>
      <c r="Z50" s="1084"/>
      <c r="AA50" s="161"/>
      <c r="AB50" s="161"/>
      <c r="AC50" s="161"/>
      <c r="AD50" s="161"/>
      <c r="AE50" s="161"/>
      <c r="AF50" s="161"/>
      <c r="AG50" s="161"/>
      <c r="AH50" s="161"/>
      <c r="AI50" s="161"/>
      <c r="AJ50" s="161"/>
      <c r="AK50" s="168"/>
      <c r="AL50" s="161"/>
      <c r="AM50" s="161"/>
      <c r="AN50" s="160" t="str">
        <f t="shared" si="114"/>
        <v/>
      </c>
      <c r="AO50" s="160" t="str">
        <f t="shared" si="115"/>
        <v/>
      </c>
      <c r="AP50" s="160" t="str">
        <f t="shared" si="116"/>
        <v/>
      </c>
      <c r="AQ50" s="160">
        <f>AVERAGE(D41:D50)</f>
        <v>17</v>
      </c>
      <c r="AR50" s="160">
        <f>AVERAGE(E41:E50)</f>
        <v>8</v>
      </c>
      <c r="AS50" s="160">
        <f>AVERAGE(AT41:AT50)</f>
        <v>3.6833333333333336</v>
      </c>
      <c r="AT50" s="617" t="str">
        <f t="shared" si="108"/>
        <v/>
      </c>
      <c r="AU50" s="59">
        <f t="shared" si="109"/>
        <v>0</v>
      </c>
      <c r="AV50" s="59" t="str">
        <f t="shared" si="110"/>
        <v/>
      </c>
      <c r="AW50" s="730" t="str">
        <f t="shared" si="117"/>
        <v>No Data</v>
      </c>
      <c r="AX50" s="737">
        <f t="shared" si="118"/>
        <v>0</v>
      </c>
      <c r="AY50" s="737" t="str">
        <f t="shared" si="119"/>
        <v/>
      </c>
      <c r="BA50" s="699"/>
      <c r="BY50" s="753" t="b">
        <f t="shared" si="94"/>
        <v>0</v>
      </c>
      <c r="BZ50" s="753">
        <f t="shared" si="19"/>
        <v>16.997933218147807</v>
      </c>
      <c r="CA50" s="751">
        <v>29</v>
      </c>
      <c r="CB50" s="752">
        <f t="shared" si="102"/>
        <v>21.5</v>
      </c>
      <c r="CC50" s="673">
        <f t="shared" si="20"/>
        <v>4.5020667818521938</v>
      </c>
      <c r="CD50" s="91">
        <f t="shared" si="9"/>
        <v>2</v>
      </c>
      <c r="CE50" s="752" t="b">
        <f t="shared" si="21"/>
        <v>0</v>
      </c>
      <c r="CF50" s="673"/>
      <c r="CG50" s="752">
        <f t="shared" si="22"/>
        <v>4.5020667818521938</v>
      </c>
      <c r="CH50" s="752">
        <f t="shared" si="23"/>
        <v>5.9448049055725052E-2</v>
      </c>
      <c r="CI50" s="752">
        <f t="shared" si="24"/>
        <v>3.9761203895284395E-3</v>
      </c>
      <c r="CJ50" s="755">
        <f t="shared" si="25"/>
        <v>5.0645371150545779</v>
      </c>
      <c r="CK50" s="755">
        <f t="shared" si="26"/>
        <v>2.5545439992919703</v>
      </c>
      <c r="CL50" s="755">
        <f t="shared" si="27"/>
        <v>4.0503783592624343</v>
      </c>
      <c r="CM50" s="755">
        <f t="shared" si="28"/>
        <v>7.9646209952521776</v>
      </c>
      <c r="CN50" s="755">
        <f t="shared" si="29"/>
        <v>2.3233431294370068</v>
      </c>
      <c r="CO50" s="755">
        <f t="shared" si="30"/>
        <v>3.3114642865692225</v>
      </c>
      <c r="CP50" s="755">
        <f t="shared" si="31"/>
        <v>74.310061319656313</v>
      </c>
      <c r="CQ50" s="755">
        <f t="shared" si="32"/>
        <v>12.046145960767719</v>
      </c>
      <c r="CR50" s="755">
        <f t="shared" si="95"/>
        <v>19.095664500880307</v>
      </c>
      <c r="CS50" s="755">
        <f t="shared" si="33"/>
        <v>8.6798475004001396</v>
      </c>
      <c r="CT50" s="755">
        <f t="shared" si="34"/>
        <v>4.5020667818521938</v>
      </c>
      <c r="CU50" s="755">
        <f t="shared" si="35"/>
        <v>3.4976409794673704</v>
      </c>
      <c r="CX50" s="755"/>
      <c r="CY50" s="755"/>
      <c r="CZ50" s="755"/>
      <c r="DA50" s="755"/>
      <c r="DB50" s="755"/>
      <c r="DC50" s="755"/>
      <c r="DD50" s="755" t="b">
        <f t="shared" si="96"/>
        <v>0</v>
      </c>
      <c r="DE50" s="755">
        <f t="shared" si="36"/>
        <v>30.29093184253335</v>
      </c>
      <c r="DF50" s="755">
        <v>29</v>
      </c>
      <c r="DG50" s="755">
        <f t="shared" si="97"/>
        <v>35.5</v>
      </c>
      <c r="DH50" s="673">
        <f t="shared" si="37"/>
        <v>5.2090681574666498</v>
      </c>
      <c r="DI50" s="673">
        <f t="shared" si="38"/>
        <v>2</v>
      </c>
      <c r="DJ50" s="766" t="b">
        <f t="shared" si="39"/>
        <v>0</v>
      </c>
      <c r="DK50" s="673"/>
      <c r="DL50" s="766">
        <f t="shared" si="40"/>
        <v>5.2090681574666498</v>
      </c>
      <c r="DM50" s="766">
        <f t="shared" si="41"/>
        <v>3.6366667966784227E-2</v>
      </c>
      <c r="DN50" s="766">
        <f t="shared" si="42"/>
        <v>2.4323464318635403E-3</v>
      </c>
      <c r="DO50" s="766">
        <f t="shared" si="43"/>
        <v>5.258002401879331</v>
      </c>
      <c r="DP50" s="766">
        <f t="shared" si="44"/>
        <v>2.602037500922139</v>
      </c>
      <c r="DQ50" s="766">
        <f t="shared" si="45"/>
        <v>4.5798801988387243</v>
      </c>
      <c r="DR50" s="766">
        <f t="shared" si="46"/>
        <v>9.0058277898889951</v>
      </c>
      <c r="DS50" s="766">
        <f t="shared" si="47"/>
        <v>2.4799087491731129</v>
      </c>
      <c r="DT50" s="766">
        <f t="shared" si="48"/>
        <v>3.5282636683542137</v>
      </c>
      <c r="DU50" s="766">
        <f t="shared" si="49"/>
        <v>45.458334958480286</v>
      </c>
      <c r="DV50" s="766">
        <f t="shared" si="50"/>
        <v>7.3690928027598606</v>
      </c>
      <c r="DW50" s="766">
        <f t="shared" si="51"/>
        <v>31.215397600815216</v>
      </c>
      <c r="DX50" s="766">
        <f t="shared" si="52"/>
        <v>14.188817091279642</v>
      </c>
      <c r="DY50" s="766">
        <f t="shared" si="53"/>
        <v>5.2090681574666498</v>
      </c>
      <c r="DZ50" s="766">
        <f t="shared" si="54"/>
        <v>3.7945256508820608</v>
      </c>
      <c r="EB50" s="755"/>
      <c r="EC50" s="755"/>
      <c r="ED50" s="755"/>
      <c r="EE50" s="755"/>
      <c r="EF50" s="755" t="b">
        <f t="shared" si="98"/>
        <v>0</v>
      </c>
      <c r="EG50" s="755">
        <f t="shared" si="55"/>
        <v>16.997933218147807</v>
      </c>
      <c r="EH50" s="755">
        <v>29</v>
      </c>
      <c r="EI50" s="755">
        <f t="shared" si="103"/>
        <v>21.5</v>
      </c>
      <c r="EJ50" s="673">
        <f t="shared" si="56"/>
        <v>4.5020667818521938</v>
      </c>
      <c r="EK50" s="673">
        <f t="shared" si="57"/>
        <v>2.2510196371999172</v>
      </c>
      <c r="EL50" s="755" t="b">
        <f t="shared" si="58"/>
        <v>0</v>
      </c>
      <c r="EM50" s="673"/>
      <c r="EN50" s="755">
        <f t="shared" si="59"/>
        <v>4.5020667818521938</v>
      </c>
      <c r="EO50" s="755">
        <f t="shared" si="60"/>
        <v>5.9448049055725052E-2</v>
      </c>
      <c r="EP50" s="755">
        <f t="shared" si="61"/>
        <v>3.9761203895284395E-3</v>
      </c>
      <c r="EQ50" s="755">
        <f t="shared" si="62"/>
        <v>5.0645371150545779</v>
      </c>
      <c r="ER50" s="755">
        <f t="shared" si="63"/>
        <v>2.5545439992919703</v>
      </c>
      <c r="ES50" s="755">
        <f t="shared" si="64"/>
        <v>4.0503783592624343</v>
      </c>
      <c r="ET50" s="755">
        <f t="shared" si="65"/>
        <v>7.9646209952521776</v>
      </c>
      <c r="EU50" s="755">
        <f t="shared" si="66"/>
        <v>2.3233431294370068</v>
      </c>
      <c r="EV50" s="755">
        <f t="shared" si="67"/>
        <v>3.3114642865692225</v>
      </c>
      <c r="EW50" s="755">
        <f t="shared" si="68"/>
        <v>74.310061319656313</v>
      </c>
      <c r="EX50" s="755">
        <f t="shared" si="69"/>
        <v>12.046145960767719</v>
      </c>
      <c r="EY50" s="755">
        <f t="shared" si="99"/>
        <v>19.095664500880307</v>
      </c>
      <c r="EZ50" s="755">
        <f t="shared" si="70"/>
        <v>8.6798475004001396</v>
      </c>
      <c r="FA50" s="755">
        <f t="shared" si="71"/>
        <v>4.5020667818521938</v>
      </c>
      <c r="FB50" s="755">
        <f t="shared" si="72"/>
        <v>3.4976409794673704</v>
      </c>
      <c r="FC50" s="755"/>
      <c r="FD50" s="755"/>
      <c r="FE50" s="755"/>
      <c r="FF50" s="755"/>
      <c r="FG50" s="755"/>
      <c r="FH50" s="755"/>
      <c r="FI50" s="755"/>
      <c r="FJ50" s="755"/>
      <c r="FK50" s="755" t="b">
        <f t="shared" si="100"/>
        <v>0</v>
      </c>
      <c r="FL50" s="755">
        <f t="shared" si="73"/>
        <v>31.705474349117939</v>
      </c>
      <c r="FM50" s="755">
        <v>29</v>
      </c>
      <c r="FN50" s="767">
        <f t="shared" si="101"/>
        <v>35.5</v>
      </c>
      <c r="FO50" s="673">
        <f t="shared" si="74"/>
        <v>3.7945256508820608</v>
      </c>
      <c r="FP50" s="673">
        <f t="shared" si="75"/>
        <v>2.2510196371999172</v>
      </c>
      <c r="FQ50" s="766" t="b">
        <f t="shared" si="76"/>
        <v>0</v>
      </c>
      <c r="FR50" s="673"/>
      <c r="FS50" s="767">
        <f t="shared" si="77"/>
        <v>3.7945256508820608</v>
      </c>
      <c r="FT50" s="766">
        <f t="shared" si="78"/>
        <v>3.6366667966784227E-2</v>
      </c>
      <c r="FU50" s="766">
        <f t="shared" si="79"/>
        <v>2.4323464318635403E-3</v>
      </c>
      <c r="FV50" s="766">
        <f t="shared" si="80"/>
        <v>5.258002401879331</v>
      </c>
      <c r="FW50" s="766">
        <f t="shared" si="81"/>
        <v>2.602037500922139</v>
      </c>
      <c r="FX50" s="766">
        <f t="shared" si="82"/>
        <v>5.1547001318045149</v>
      </c>
      <c r="FY50" s="766">
        <f t="shared" si="83"/>
        <v>10.136147602140429</v>
      </c>
      <c r="FZ50" s="766">
        <f t="shared" si="84"/>
        <v>2.4799087491731129</v>
      </c>
      <c r="GA50" s="766">
        <f t="shared" si="85"/>
        <v>3.5282636683542137</v>
      </c>
      <c r="GB50" s="766">
        <f t="shared" si="86"/>
        <v>45.458334958480286</v>
      </c>
      <c r="GC50" s="766">
        <f t="shared" si="87"/>
        <v>7.3690928027598606</v>
      </c>
      <c r="GD50" s="766">
        <f t="shared" si="88"/>
        <v>31.215397600815216</v>
      </c>
      <c r="GE50" s="766">
        <f t="shared" si="89"/>
        <v>14.188817091279642</v>
      </c>
      <c r="GF50" s="766">
        <f t="shared" si="90"/>
        <v>5.9648230697020441</v>
      </c>
      <c r="GG50" s="766">
        <f t="shared" si="91"/>
        <v>3.7945256508820608</v>
      </c>
    </row>
    <row r="51" spans="1:189" ht="15.5">
      <c r="B51" s="292">
        <v>11</v>
      </c>
      <c r="C51" s="666"/>
      <c r="D51" s="869"/>
      <c r="E51" s="869"/>
      <c r="F51" s="869"/>
      <c r="G51" s="869"/>
      <c r="H51" s="869"/>
      <c r="I51" s="869"/>
      <c r="J51" s="671"/>
      <c r="K51" s="870"/>
      <c r="L51" s="304" t="str">
        <f t="shared" si="111"/>
        <v/>
      </c>
      <c r="M51" s="295" t="str">
        <f t="shared" si="112"/>
        <v/>
      </c>
      <c r="N51" s="291" t="str">
        <f t="shared" si="113"/>
        <v/>
      </c>
      <c r="O51" s="1102" t="s">
        <v>872</v>
      </c>
      <c r="P51" s="1103"/>
      <c r="Q51" s="1103"/>
      <c r="R51" s="777">
        <f>IF(ISNUMBER(C41),VLOOKUP(AO53,B41:AR52,42,FALSE),"")</f>
        <v>17</v>
      </c>
      <c r="S51" s="1077">
        <f>IF(ISNUMBER(C41),VLOOKUP(AO53,B41:AR52,43,FALSE),"")</f>
        <v>8</v>
      </c>
      <c r="T51" s="1077"/>
      <c r="U51" s="298">
        <f>IF(ISNUMBER(S51),S51/R51,"")</f>
        <v>0.47058823529411764</v>
      </c>
      <c r="V51" s="297">
        <f>IF(ISNUMBER(C41),VLOOKUP(AO53,B41:AT52,45,FALSE),"")</f>
        <v>1.6</v>
      </c>
      <c r="W51" s="1083"/>
      <c r="X51" s="1084"/>
      <c r="Y51" s="1084"/>
      <c r="Z51" s="1084"/>
      <c r="AA51" s="161"/>
      <c r="AB51" s="161"/>
      <c r="AC51" s="161"/>
      <c r="AD51" s="161"/>
      <c r="AE51" s="161"/>
      <c r="AF51" s="161"/>
      <c r="AG51" s="161"/>
      <c r="AH51" s="161"/>
      <c r="AI51" s="161"/>
      <c r="AJ51" s="161"/>
      <c r="AK51" s="168"/>
      <c r="AL51" s="161"/>
      <c r="AM51" s="161"/>
      <c r="AN51" s="160" t="str">
        <f t="shared" si="114"/>
        <v/>
      </c>
      <c r="AO51" s="160" t="str">
        <f t="shared" si="115"/>
        <v/>
      </c>
      <c r="AP51" s="160" t="str">
        <f t="shared" si="116"/>
        <v/>
      </c>
      <c r="AQ51" s="160">
        <f>AVERAGE(D41:D51)</f>
        <v>17</v>
      </c>
      <c r="AR51" s="160">
        <f>AVERAGE(E41:E51)</f>
        <v>8</v>
      </c>
      <c r="AS51" s="160">
        <f>AVERAGE(AT41:AT51)</f>
        <v>3.6833333333333336</v>
      </c>
      <c r="AT51" s="617" t="str">
        <f t="shared" si="108"/>
        <v/>
      </c>
      <c r="AU51" s="59">
        <f t="shared" si="109"/>
        <v>0</v>
      </c>
      <c r="AV51" s="59" t="str">
        <f t="shared" si="110"/>
        <v/>
      </c>
      <c r="AW51" s="730" t="str">
        <f t="shared" si="117"/>
        <v>No Data</v>
      </c>
      <c r="AX51" s="737">
        <f t="shared" si="118"/>
        <v>0</v>
      </c>
      <c r="AY51" s="737" t="str">
        <f t="shared" si="119"/>
        <v/>
      </c>
      <c r="BA51" t="s">
        <v>611</v>
      </c>
      <c r="BY51" s="753" t="b">
        <f t="shared" si="94"/>
        <v>0</v>
      </c>
      <c r="BZ51" s="753">
        <f t="shared" si="19"/>
        <v>17.467168338272508</v>
      </c>
      <c r="CA51" s="751">
        <v>30</v>
      </c>
      <c r="CB51" s="752">
        <f t="shared" si="102"/>
        <v>22</v>
      </c>
      <c r="CC51" s="673">
        <f t="shared" si="20"/>
        <v>4.5328316617274913</v>
      </c>
      <c r="CD51" s="91">
        <f t="shared" si="9"/>
        <v>2</v>
      </c>
      <c r="CE51" s="752" t="b">
        <f t="shared" si="21"/>
        <v>0</v>
      </c>
      <c r="CF51" s="673"/>
      <c r="CG51" s="752">
        <f t="shared" si="22"/>
        <v>4.5328316617274913</v>
      </c>
      <c r="CH51" s="752">
        <f t="shared" si="23"/>
        <v>5.8123675594779108E-2</v>
      </c>
      <c r="CI51" s="752">
        <f t="shared" si="24"/>
        <v>3.8875410600960909E-3</v>
      </c>
      <c r="CJ51" s="755">
        <f t="shared" si="25"/>
        <v>5.075139575248472</v>
      </c>
      <c r="CK51" s="755">
        <f t="shared" si="26"/>
        <v>2.5571990799154092</v>
      </c>
      <c r="CL51" s="755">
        <f t="shared" si="27"/>
        <v>4.0732562082858337</v>
      </c>
      <c r="CM51" s="755">
        <f t="shared" si="28"/>
        <v>8.0096077546351108</v>
      </c>
      <c r="CN51" s="755">
        <f t="shared" si="29"/>
        <v>2.330322113668549</v>
      </c>
      <c r="CO51" s="755">
        <f t="shared" si="30"/>
        <v>3.3211227314659384</v>
      </c>
      <c r="CP51" s="755">
        <f t="shared" si="31"/>
        <v>72.65459449347388</v>
      </c>
      <c r="CQ51" s="755">
        <f t="shared" si="32"/>
        <v>11.777783983032039</v>
      </c>
      <c r="CR51" s="755">
        <f t="shared" si="95"/>
        <v>19.530767598289465</v>
      </c>
      <c r="CS51" s="755">
        <f t="shared" si="33"/>
        <v>8.8776216355861202</v>
      </c>
      <c r="CT51" s="755">
        <f t="shared" si="34"/>
        <v>4.5328316617274913</v>
      </c>
      <c r="CU51" s="755">
        <f t="shared" si="35"/>
        <v>3.5109062277854854</v>
      </c>
      <c r="CX51" s="755"/>
      <c r="CY51" s="755"/>
      <c r="CZ51" s="755"/>
      <c r="DA51" s="755"/>
      <c r="DB51" s="755"/>
      <c r="DC51" s="755"/>
      <c r="DD51" s="755" t="b">
        <f t="shared" si="96"/>
        <v>0</v>
      </c>
      <c r="DE51" s="755">
        <f t="shared" si="36"/>
        <v>29.811994154527603</v>
      </c>
      <c r="DF51" s="755">
        <v>30</v>
      </c>
      <c r="DG51" s="755">
        <f t="shared" si="97"/>
        <v>35</v>
      </c>
      <c r="DH51" s="673">
        <f t="shared" si="37"/>
        <v>5.1880058454723974</v>
      </c>
      <c r="DI51" s="673">
        <f t="shared" si="38"/>
        <v>2</v>
      </c>
      <c r="DJ51" s="766" t="b">
        <f t="shared" si="39"/>
        <v>0</v>
      </c>
      <c r="DK51" s="673"/>
      <c r="DL51" s="766">
        <f t="shared" si="40"/>
        <v>5.1880058454723974</v>
      </c>
      <c r="DM51" s="766">
        <f t="shared" si="41"/>
        <v>3.6875728935732634E-2</v>
      </c>
      <c r="DN51" s="766">
        <f t="shared" si="42"/>
        <v>2.4663944406762691E-3</v>
      </c>
      <c r="DO51" s="766">
        <f t="shared" si="43"/>
        <v>5.2535269666061799</v>
      </c>
      <c r="DP51" s="766">
        <f t="shared" si="44"/>
        <v>2.600961304939418</v>
      </c>
      <c r="DQ51" s="766">
        <f t="shared" si="45"/>
        <v>4.5639916604492479</v>
      </c>
      <c r="DR51" s="766">
        <f t="shared" si="46"/>
        <v>8.9745847367180964</v>
      </c>
      <c r="DS51" s="766">
        <f t="shared" si="47"/>
        <v>2.4753530335013711</v>
      </c>
      <c r="DT51" s="766">
        <f t="shared" si="48"/>
        <v>3.5219517645836884</v>
      </c>
      <c r="DU51" s="766">
        <f t="shared" si="49"/>
        <v>46.094661169665791</v>
      </c>
      <c r="DV51" s="766">
        <f t="shared" si="50"/>
        <v>7.4722454348863439</v>
      </c>
      <c r="DW51" s="766">
        <f t="shared" si="51"/>
        <v>30.784476205973778</v>
      </c>
      <c r="DX51" s="766">
        <f t="shared" si="52"/>
        <v>13.992943729988079</v>
      </c>
      <c r="DY51" s="766">
        <f t="shared" si="53"/>
        <v>5.1880058454723974</v>
      </c>
      <c r="DZ51" s="766">
        <f t="shared" si="54"/>
        <v>3.7859079610178559</v>
      </c>
      <c r="EB51" s="755"/>
      <c r="EC51" s="755"/>
      <c r="ED51" s="755"/>
      <c r="EE51" s="755"/>
      <c r="EF51" s="755" t="b">
        <f t="shared" si="98"/>
        <v>0</v>
      </c>
      <c r="EG51" s="755">
        <f t="shared" si="55"/>
        <v>17.467168338272508</v>
      </c>
      <c r="EH51" s="755">
        <v>30</v>
      </c>
      <c r="EI51" s="755">
        <f t="shared" si="103"/>
        <v>22</v>
      </c>
      <c r="EJ51" s="673">
        <f t="shared" si="56"/>
        <v>4.5328316617274913</v>
      </c>
      <c r="EK51" s="673">
        <f t="shared" si="57"/>
        <v>2.2510196371999172</v>
      </c>
      <c r="EL51" s="755" t="b">
        <f t="shared" si="58"/>
        <v>0</v>
      </c>
      <c r="EM51" s="673"/>
      <c r="EN51" s="755">
        <f t="shared" si="59"/>
        <v>4.5328316617274913</v>
      </c>
      <c r="EO51" s="755">
        <f t="shared" si="60"/>
        <v>5.8123675594779108E-2</v>
      </c>
      <c r="EP51" s="755">
        <f t="shared" si="61"/>
        <v>3.8875410600960909E-3</v>
      </c>
      <c r="EQ51" s="755">
        <f t="shared" si="62"/>
        <v>5.075139575248472</v>
      </c>
      <c r="ER51" s="755">
        <f t="shared" si="63"/>
        <v>2.5571990799154092</v>
      </c>
      <c r="ES51" s="755">
        <f t="shared" si="64"/>
        <v>4.0732562082858337</v>
      </c>
      <c r="ET51" s="755">
        <f t="shared" si="65"/>
        <v>8.0096077546351108</v>
      </c>
      <c r="EU51" s="755">
        <f t="shared" si="66"/>
        <v>2.330322113668549</v>
      </c>
      <c r="EV51" s="755">
        <f t="shared" si="67"/>
        <v>3.3211227314659384</v>
      </c>
      <c r="EW51" s="755">
        <f t="shared" si="68"/>
        <v>72.65459449347388</v>
      </c>
      <c r="EX51" s="755">
        <f t="shared" si="69"/>
        <v>11.777783983032039</v>
      </c>
      <c r="EY51" s="755">
        <f t="shared" si="99"/>
        <v>19.530767598289465</v>
      </c>
      <c r="EZ51" s="755">
        <f t="shared" si="70"/>
        <v>8.8776216355861202</v>
      </c>
      <c r="FA51" s="755">
        <f t="shared" si="71"/>
        <v>4.5328316617274913</v>
      </c>
      <c r="FB51" s="755">
        <f t="shared" si="72"/>
        <v>3.5109062277854854</v>
      </c>
      <c r="FC51" s="755"/>
      <c r="FD51" s="755"/>
      <c r="FE51" s="755"/>
      <c r="FF51" s="755"/>
      <c r="FG51" s="755"/>
      <c r="FH51" s="755"/>
      <c r="FI51" s="755"/>
      <c r="FJ51" s="755"/>
      <c r="FK51" s="755" t="b">
        <f t="shared" si="100"/>
        <v>0</v>
      </c>
      <c r="FL51" s="755">
        <f t="shared" si="73"/>
        <v>31.214092038982145</v>
      </c>
      <c r="FM51" s="755">
        <v>30</v>
      </c>
      <c r="FN51" s="767">
        <f t="shared" si="101"/>
        <v>35</v>
      </c>
      <c r="FO51" s="673">
        <f t="shared" si="74"/>
        <v>3.7859079610178559</v>
      </c>
      <c r="FP51" s="673">
        <f t="shared" si="75"/>
        <v>2.2510196371999172</v>
      </c>
      <c r="FQ51" s="766" t="b">
        <f t="shared" si="76"/>
        <v>0</v>
      </c>
      <c r="FR51" s="673"/>
      <c r="FS51" s="767">
        <f t="shared" si="77"/>
        <v>3.7859079610178559</v>
      </c>
      <c r="FT51" s="766">
        <f t="shared" si="78"/>
        <v>3.6875728935732634E-2</v>
      </c>
      <c r="FU51" s="766">
        <f t="shared" si="79"/>
        <v>2.4663944406762691E-3</v>
      </c>
      <c r="FV51" s="766">
        <f t="shared" si="80"/>
        <v>5.2535269666061799</v>
      </c>
      <c r="FW51" s="766">
        <f t="shared" si="81"/>
        <v>2.600961304939418</v>
      </c>
      <c r="FX51" s="766">
        <f t="shared" si="82"/>
        <v>5.1368174258439563</v>
      </c>
      <c r="FY51" s="766">
        <f t="shared" si="83"/>
        <v>10.100983239033543</v>
      </c>
      <c r="FZ51" s="766">
        <f t="shared" si="84"/>
        <v>2.4753530335013711</v>
      </c>
      <c r="GA51" s="766">
        <f t="shared" si="85"/>
        <v>3.5219517645836884</v>
      </c>
      <c r="GB51" s="766">
        <f t="shared" si="86"/>
        <v>46.094661169665791</v>
      </c>
      <c r="GC51" s="766">
        <f t="shared" si="87"/>
        <v>7.4722454348863439</v>
      </c>
      <c r="GD51" s="766">
        <f t="shared" si="88"/>
        <v>30.784476205973778</v>
      </c>
      <c r="GE51" s="766">
        <f t="shared" si="89"/>
        <v>13.992943729988079</v>
      </c>
      <c r="GF51" s="766">
        <f t="shared" si="90"/>
        <v>5.9414931264573072</v>
      </c>
      <c r="GG51" s="766">
        <f t="shared" si="91"/>
        <v>3.7859079610178559</v>
      </c>
    </row>
    <row r="52" spans="1:189" ht="16" thickBot="1">
      <c r="B52" s="299">
        <v>12</v>
      </c>
      <c r="C52" s="667"/>
      <c r="D52" s="667"/>
      <c r="E52" s="667"/>
      <c r="F52" s="667"/>
      <c r="G52" s="667"/>
      <c r="H52" s="667"/>
      <c r="I52" s="667"/>
      <c r="J52" s="667"/>
      <c r="K52" s="667"/>
      <c r="L52" s="299" t="str">
        <f t="shared" si="111"/>
        <v/>
      </c>
      <c r="M52" s="302" t="str">
        <f t="shared" si="112"/>
        <v/>
      </c>
      <c r="N52" s="404" t="str">
        <f t="shared" si="113"/>
        <v/>
      </c>
      <c r="O52" s="1104" t="s">
        <v>873</v>
      </c>
      <c r="P52" s="1105"/>
      <c r="Q52" s="1105"/>
      <c r="R52" s="778">
        <f>IF(ISNUMBER(C41),VLOOKUP(AP53,B41:AR52,42,FALSE),"")</f>
        <v>17</v>
      </c>
      <c r="S52" s="1078">
        <f>IF(ISNUMBER(C41),VLOOKUP(AP53,B41:AR52,43,FALSE),"")</f>
        <v>8</v>
      </c>
      <c r="T52" s="1078"/>
      <c r="U52" s="305">
        <f>IF(ISNUMBER(S52),S52/R52,"")</f>
        <v>0.47058823529411764</v>
      </c>
      <c r="V52" s="301">
        <f>IF(ISNUMBER(C41),VLOOKUP(AP53,B41:AT52,45,FALSE),"")</f>
        <v>2.4</v>
      </c>
      <c r="W52" s="1083"/>
      <c r="X52" s="1084"/>
      <c r="Y52" s="1084"/>
      <c r="Z52" s="1084"/>
      <c r="AA52" s="161"/>
      <c r="AB52" s="161"/>
      <c r="AC52" s="161"/>
      <c r="AD52" s="161"/>
      <c r="AE52" s="161"/>
      <c r="AF52" s="161"/>
      <c r="AG52" s="161"/>
      <c r="AH52" s="161"/>
      <c r="AI52" s="161"/>
      <c r="AJ52" s="161"/>
      <c r="AK52" s="168"/>
      <c r="AL52" s="161"/>
      <c r="AM52" s="161"/>
      <c r="AN52" s="160" t="str">
        <f t="shared" si="114"/>
        <v/>
      </c>
      <c r="AO52" s="160" t="str">
        <f t="shared" si="115"/>
        <v/>
      </c>
      <c r="AP52" s="160" t="str">
        <f t="shared" si="116"/>
        <v/>
      </c>
      <c r="AQ52" s="160">
        <f>AVERAGE(D41:D52)</f>
        <v>17</v>
      </c>
      <c r="AR52" s="160">
        <f>AVERAGE(E41:E52)</f>
        <v>8</v>
      </c>
      <c r="AS52" s="160">
        <f>AVERAGE(AT41:AT52)</f>
        <v>3.6833333333333336</v>
      </c>
      <c r="AT52" s="617" t="str">
        <f t="shared" si="108"/>
        <v/>
      </c>
      <c r="AU52" s="59">
        <f t="shared" si="109"/>
        <v>0</v>
      </c>
      <c r="AV52" s="59" t="str">
        <f t="shared" si="110"/>
        <v/>
      </c>
      <c r="AW52" s="730" t="str">
        <f t="shared" si="117"/>
        <v>No Data</v>
      </c>
      <c r="AX52" s="737">
        <f t="shared" si="118"/>
        <v>0</v>
      </c>
      <c r="AY52" s="737" t="str">
        <f t="shared" si="119"/>
        <v/>
      </c>
      <c r="BA52" s="86">
        <f>AF7/AQ82/SQRT(((AU10+(AE7/AQ82))/2))</f>
        <v>21.836586547780627</v>
      </c>
      <c r="BB52" s="86">
        <f>AF8/AR82/SQRT(((AU11+(AE8/AR82))/2))</f>
        <v>241.16476188312924</v>
      </c>
      <c r="BC52" s="86">
        <f>AF9/AS82/SQRT(((AU12+(AE9/AS82))/2))</f>
        <v>320.8128809509829</v>
      </c>
      <c r="BY52" s="753" t="b">
        <f t="shared" si="94"/>
        <v>0</v>
      </c>
      <c r="BZ52" s="753">
        <f t="shared" si="19"/>
        <v>17.936946226805549</v>
      </c>
      <c r="CA52" s="751">
        <v>31</v>
      </c>
      <c r="CB52" s="752">
        <f t="shared" si="102"/>
        <v>22.5</v>
      </c>
      <c r="CC52" s="673">
        <f t="shared" si="20"/>
        <v>4.5630537731944516</v>
      </c>
      <c r="CD52" s="91">
        <f t="shared" si="9"/>
        <v>2</v>
      </c>
      <c r="CE52" s="752" t="b">
        <f t="shared" si="21"/>
        <v>0</v>
      </c>
      <c r="CF52" s="673"/>
      <c r="CG52" s="752">
        <f t="shared" si="22"/>
        <v>4.5630537731944516</v>
      </c>
      <c r="CH52" s="752">
        <f t="shared" si="23"/>
        <v>5.68575876646846E-2</v>
      </c>
      <c r="CI52" s="752">
        <f t="shared" si="24"/>
        <v>3.8028600972428643E-3</v>
      </c>
      <c r="CJ52" s="755">
        <f t="shared" si="25"/>
        <v>5.0853295523300108</v>
      </c>
      <c r="CK52" s="755">
        <f t="shared" si="26"/>
        <v>2.5597450664844268</v>
      </c>
      <c r="CL52" s="755">
        <f t="shared" si="27"/>
        <v>4.0957447972767573</v>
      </c>
      <c r="CM52" s="755">
        <f t="shared" si="28"/>
        <v>8.053829077223682</v>
      </c>
      <c r="CN52" s="755">
        <f t="shared" si="29"/>
        <v>2.3371623420778707</v>
      </c>
      <c r="CO52" s="755">
        <f t="shared" si="30"/>
        <v>3.3305896610692733</v>
      </c>
      <c r="CP52" s="755">
        <f t="shared" si="31"/>
        <v>71.071984580855755</v>
      </c>
      <c r="CQ52" s="755">
        <f t="shared" si="32"/>
        <v>11.521232586521311</v>
      </c>
      <c r="CR52" s="755">
        <f t="shared" si="95"/>
        <v>19.965672949313248</v>
      </c>
      <c r="CS52" s="755">
        <f t="shared" si="33"/>
        <v>9.0753058860514759</v>
      </c>
      <c r="CT52" s="755">
        <f t="shared" si="34"/>
        <v>4.5630537731944516</v>
      </c>
      <c r="CU52" s="755">
        <f t="shared" si="35"/>
        <v>3.5239049035945458</v>
      </c>
      <c r="CX52" s="755"/>
      <c r="CY52" s="755"/>
      <c r="CZ52" s="755"/>
      <c r="DA52" s="755"/>
      <c r="DB52" s="755"/>
      <c r="DC52" s="755"/>
      <c r="DD52" s="755" t="b">
        <f t="shared" si="96"/>
        <v>0</v>
      </c>
      <c r="DE52" s="755">
        <f t="shared" si="36"/>
        <v>29.333294393818026</v>
      </c>
      <c r="DF52" s="755">
        <v>31</v>
      </c>
      <c r="DG52" s="755">
        <f t="shared" si="97"/>
        <v>34.5</v>
      </c>
      <c r="DH52" s="673">
        <f t="shared" si="37"/>
        <v>5.1667056061819734</v>
      </c>
      <c r="DI52" s="673">
        <f t="shared" si="38"/>
        <v>2</v>
      </c>
      <c r="DJ52" s="766" t="b">
        <f t="shared" si="39"/>
        <v>0</v>
      </c>
      <c r="DK52" s="673"/>
      <c r="DL52" s="766">
        <f t="shared" si="40"/>
        <v>5.1667056061819734</v>
      </c>
      <c r="DM52" s="766">
        <f t="shared" si="41"/>
        <v>3.7399395639428165E-2</v>
      </c>
      <c r="DN52" s="766">
        <f t="shared" si="42"/>
        <v>2.501419338733549E-3</v>
      </c>
      <c r="DO52" s="766">
        <f t="shared" si="43"/>
        <v>5.2489334444849796</v>
      </c>
      <c r="DP52" s="766">
        <f t="shared" si="44"/>
        <v>2.599855623429765</v>
      </c>
      <c r="DQ52" s="766">
        <f t="shared" si="45"/>
        <v>4.547930817205696</v>
      </c>
      <c r="DR52" s="766">
        <f t="shared" si="46"/>
        <v>8.9430028651118274</v>
      </c>
      <c r="DS52" s="766">
        <f t="shared" si="47"/>
        <v>2.4707394794487896</v>
      </c>
      <c r="DT52" s="766">
        <f t="shared" si="48"/>
        <v>3.5155599337087553</v>
      </c>
      <c r="DU52" s="766">
        <f t="shared" si="49"/>
        <v>46.749244549285208</v>
      </c>
      <c r="DV52" s="766">
        <f t="shared" si="50"/>
        <v>7.5783576731802764</v>
      </c>
      <c r="DW52" s="766">
        <f t="shared" si="51"/>
        <v>30.353431668912314</v>
      </c>
      <c r="DX52" s="766">
        <f t="shared" si="52"/>
        <v>13.797014394960142</v>
      </c>
      <c r="DY52" s="766">
        <f t="shared" si="53"/>
        <v>5.1667056061819734</v>
      </c>
      <c r="DZ52" s="766">
        <f t="shared" si="54"/>
        <v>3.7771795726089512</v>
      </c>
      <c r="EB52" s="755"/>
      <c r="EC52" s="755"/>
      <c r="ED52" s="755"/>
      <c r="EE52" s="755"/>
      <c r="EF52" s="755" t="b">
        <f t="shared" si="98"/>
        <v>0</v>
      </c>
      <c r="EG52" s="755">
        <f t="shared" si="55"/>
        <v>17.936946226805549</v>
      </c>
      <c r="EH52" s="755">
        <v>31</v>
      </c>
      <c r="EI52" s="755">
        <f t="shared" si="103"/>
        <v>22.5</v>
      </c>
      <c r="EJ52" s="673">
        <f t="shared" si="56"/>
        <v>4.5630537731944516</v>
      </c>
      <c r="EK52" s="673">
        <f t="shared" si="57"/>
        <v>2.2510196371999172</v>
      </c>
      <c r="EL52" s="755" t="b">
        <f t="shared" si="58"/>
        <v>0</v>
      </c>
      <c r="EM52" s="673"/>
      <c r="EN52" s="755">
        <f t="shared" si="59"/>
        <v>4.5630537731944516</v>
      </c>
      <c r="EO52" s="755">
        <f t="shared" si="60"/>
        <v>5.68575876646846E-2</v>
      </c>
      <c r="EP52" s="755">
        <f t="shared" si="61"/>
        <v>3.8028600972428643E-3</v>
      </c>
      <c r="EQ52" s="755">
        <f t="shared" si="62"/>
        <v>5.0853295523300108</v>
      </c>
      <c r="ER52" s="755">
        <f t="shared" si="63"/>
        <v>2.5597450664844268</v>
      </c>
      <c r="ES52" s="755">
        <f t="shared" si="64"/>
        <v>4.0957447972767573</v>
      </c>
      <c r="ET52" s="755">
        <f t="shared" si="65"/>
        <v>8.053829077223682</v>
      </c>
      <c r="EU52" s="755">
        <f t="shared" si="66"/>
        <v>2.3371623420778707</v>
      </c>
      <c r="EV52" s="755">
        <f t="shared" si="67"/>
        <v>3.3305896610692733</v>
      </c>
      <c r="EW52" s="755">
        <f t="shared" si="68"/>
        <v>71.071984580855755</v>
      </c>
      <c r="EX52" s="755">
        <f t="shared" si="69"/>
        <v>11.521232586521311</v>
      </c>
      <c r="EY52" s="755">
        <f t="shared" si="99"/>
        <v>19.965672949313248</v>
      </c>
      <c r="EZ52" s="755">
        <f t="shared" si="70"/>
        <v>9.0753058860514759</v>
      </c>
      <c r="FA52" s="755">
        <f t="shared" si="71"/>
        <v>4.5630537731944516</v>
      </c>
      <c r="FB52" s="755">
        <f t="shared" si="72"/>
        <v>3.5239049035945458</v>
      </c>
      <c r="FC52" s="755"/>
      <c r="FD52" s="755"/>
      <c r="FE52" s="755"/>
      <c r="FF52" s="755"/>
      <c r="FG52" s="755"/>
      <c r="FH52" s="755"/>
      <c r="FI52" s="755"/>
      <c r="FJ52" s="755"/>
      <c r="FK52" s="755" t="b">
        <f t="shared" si="100"/>
        <v>0</v>
      </c>
      <c r="FL52" s="755">
        <f t="shared" si="73"/>
        <v>30.722820427391049</v>
      </c>
      <c r="FM52" s="755">
        <v>31</v>
      </c>
      <c r="FN52" s="767">
        <f t="shared" si="101"/>
        <v>34.5</v>
      </c>
      <c r="FO52" s="673">
        <f t="shared" si="74"/>
        <v>3.7771795726089512</v>
      </c>
      <c r="FP52" s="673">
        <f t="shared" si="75"/>
        <v>2.2510196371999172</v>
      </c>
      <c r="FQ52" s="766" t="b">
        <f t="shared" si="76"/>
        <v>0</v>
      </c>
      <c r="FR52" s="673"/>
      <c r="FS52" s="767">
        <f t="shared" si="77"/>
        <v>3.7771795726089512</v>
      </c>
      <c r="FT52" s="766">
        <f t="shared" si="78"/>
        <v>3.7399395639428165E-2</v>
      </c>
      <c r="FU52" s="766">
        <f t="shared" si="79"/>
        <v>2.501419338733549E-3</v>
      </c>
      <c r="FV52" s="766">
        <f t="shared" si="80"/>
        <v>5.2489334444849796</v>
      </c>
      <c r="FW52" s="766">
        <f t="shared" si="81"/>
        <v>2.599855623429765</v>
      </c>
      <c r="FX52" s="766">
        <f t="shared" si="82"/>
        <v>5.1187407890783447</v>
      </c>
      <c r="FY52" s="766">
        <f t="shared" si="83"/>
        <v>10.065437532450924</v>
      </c>
      <c r="FZ52" s="766">
        <f t="shared" si="84"/>
        <v>2.4707394794487896</v>
      </c>
      <c r="GA52" s="766">
        <f t="shared" si="85"/>
        <v>3.5155599337087553</v>
      </c>
      <c r="GB52" s="766">
        <f t="shared" si="86"/>
        <v>46.749244549285208</v>
      </c>
      <c r="GC52" s="766">
        <f t="shared" si="87"/>
        <v>7.5783576731802764</v>
      </c>
      <c r="GD52" s="766">
        <f t="shared" si="88"/>
        <v>30.353431668912314</v>
      </c>
      <c r="GE52" s="766">
        <f t="shared" si="89"/>
        <v>13.797014394960142</v>
      </c>
      <c r="GF52" s="766">
        <f t="shared" si="90"/>
        <v>5.9178984111265827</v>
      </c>
      <c r="GG52" s="766">
        <f t="shared" si="91"/>
        <v>3.7771795726089512</v>
      </c>
    </row>
    <row r="53" spans="1:189" ht="19.5" customHeight="1" thickTop="1" thickBot="1">
      <c r="B53" s="169"/>
      <c r="C53" s="161"/>
      <c r="D53" s="161"/>
      <c r="E53" s="161"/>
      <c r="F53" s="161"/>
      <c r="G53" s="161"/>
      <c r="H53" s="161"/>
      <c r="I53" s="161"/>
      <c r="J53" s="161"/>
      <c r="K53" s="161"/>
      <c r="L53" s="194" t="s">
        <v>918</v>
      </c>
      <c r="M53" s="161"/>
      <c r="N53" s="1106" t="str">
        <f>C13</f>
        <v>Rhodes grass, Pioneer</v>
      </c>
      <c r="O53" s="1107"/>
      <c r="P53" s="1107"/>
      <c r="Q53" s="1107"/>
      <c r="R53" s="1107"/>
      <c r="S53" s="1107"/>
      <c r="T53" s="481">
        <f>IF($AZ86,BD86,"")</f>
        <v>100</v>
      </c>
      <c r="U53" s="1070" t="str">
        <f>IF(AS95,"Threshold value used","")</f>
        <v/>
      </c>
      <c r="V53" s="1070"/>
      <c r="W53" s="1070"/>
      <c r="X53" s="765"/>
      <c r="Y53" s="161"/>
      <c r="Z53" s="161"/>
      <c r="AA53" s="161"/>
      <c r="AB53" s="161"/>
      <c r="AC53" s="161"/>
      <c r="AD53" s="161"/>
      <c r="AE53" s="161"/>
      <c r="AF53" s="161"/>
      <c r="AG53" s="161"/>
      <c r="AH53" s="161"/>
      <c r="AI53" s="161"/>
      <c r="AJ53" s="161"/>
      <c r="AK53" s="168"/>
      <c r="AL53" s="161"/>
      <c r="AM53" s="161"/>
      <c r="AN53" s="46">
        <f>MATCH(0,AN41:AN52,1)</f>
        <v>5</v>
      </c>
      <c r="AO53" s="46">
        <f>MATCH(0,AO41:AO52,1)</f>
        <v>3</v>
      </c>
      <c r="AP53" s="59">
        <f>MATCH(0,AP41:AP52,1)</f>
        <v>1</v>
      </c>
      <c r="AQ53" s="46"/>
      <c r="AR53" s="46"/>
      <c r="AS53" s="5"/>
      <c r="AX53" s="737">
        <f t="shared" si="118"/>
        <v>0</v>
      </c>
      <c r="AY53" s="737" t="str">
        <f t="shared" ref="AY53" si="122">IF(ISNUMBER(H53),AX53,"")</f>
        <v/>
      </c>
      <c r="AZ53" s="59" t="s">
        <v>617</v>
      </c>
      <c r="BA53" s="59">
        <f>IF(R30&lt;=40,AF7/(AQ82^0.25)/SQRT(((AV10+(AE7/(AQ82^0.25))))),IF(R30&gt;40,AF7/(AQ82^0.25)/SQRT(((AW10+(AE7/(AQ82^0.25))))),""))</f>
        <v>2.8706470309646828</v>
      </c>
      <c r="BB53" s="59">
        <f>IF(R50&lt;=40,AF8/(AR82^0.25)/SQRT(((AV11+(AE8/(AR82^0.25))))),IF(R50&gt;40,AF8/(AR82^0.25)/SQRT(((AW11+(AE8/(AR82^0.25))))),""))</f>
        <v>32.920901475361603</v>
      </c>
      <c r="BC53" s="59">
        <f>IF(R70&lt;=40,AF9/(AS82^0.25)/SQRT(((AV12+(AE9/(AS82^0.25))))),IF(R70&gt;40,AF9/(AS82^0.25)/SQRT(((AW12+(AE9/(AS82^0.25))))),""))</f>
        <v>40.277361436716681</v>
      </c>
      <c r="BG53" s="673">
        <f>W28</f>
        <v>2.888300413535374</v>
      </c>
      <c r="BH53" s="673">
        <f>W48</f>
        <v>32.110567567294041</v>
      </c>
      <c r="BI53" s="673">
        <f>W68</f>
        <v>36.76853370260222</v>
      </c>
      <c r="BY53" s="753" t="b">
        <f t="shared" si="94"/>
        <v>0</v>
      </c>
      <c r="BZ53" s="753">
        <f t="shared" si="19"/>
        <v>18.407245655891117</v>
      </c>
      <c r="CA53" s="751">
        <v>32</v>
      </c>
      <c r="CB53" s="752">
        <f t="shared" si="102"/>
        <v>23</v>
      </c>
      <c r="CC53" s="673">
        <f t="shared" si="20"/>
        <v>4.5927543441088829</v>
      </c>
      <c r="CD53" s="91">
        <f t="shared" si="9"/>
        <v>2</v>
      </c>
      <c r="CE53" s="752" t="b">
        <f t="shared" si="21"/>
        <v>0</v>
      </c>
      <c r="CF53" s="673"/>
      <c r="CG53" s="752">
        <f t="shared" si="22"/>
        <v>4.5927543441088829</v>
      </c>
      <c r="CH53" s="752">
        <f t="shared" si="23"/>
        <v>5.5646008543434058E-2</v>
      </c>
      <c r="CI53" s="752">
        <f t="shared" si="24"/>
        <v>3.7218248988797431E-3</v>
      </c>
      <c r="CJ53" s="755">
        <f t="shared" si="25"/>
        <v>5.0951307845150291</v>
      </c>
      <c r="CK53" s="755">
        <f t="shared" si="26"/>
        <v>2.5621885749663442</v>
      </c>
      <c r="CL53" s="755">
        <f t="shared" si="27"/>
        <v>4.11785918321503</v>
      </c>
      <c r="CM53" s="755">
        <f t="shared" si="28"/>
        <v>8.0973145709031282</v>
      </c>
      <c r="CN53" s="755">
        <f t="shared" si="29"/>
        <v>2.3438695699183607</v>
      </c>
      <c r="CO53" s="755">
        <f t="shared" si="30"/>
        <v>3.3398730080665948</v>
      </c>
      <c r="CP53" s="755">
        <f t="shared" si="31"/>
        <v>69.557510679292577</v>
      </c>
      <c r="CQ53" s="755">
        <f t="shared" si="32"/>
        <v>11.275726482125489</v>
      </c>
      <c r="CR53" s="755">
        <f t="shared" si="95"/>
        <v>20.400385035953271</v>
      </c>
      <c r="CS53" s="755">
        <f t="shared" si="33"/>
        <v>9.272902289069668</v>
      </c>
      <c r="CT53" s="755">
        <f t="shared" si="34"/>
        <v>4.5927543441088829</v>
      </c>
      <c r="CU53" s="755">
        <f t="shared" si="35"/>
        <v>3.5366481086016197</v>
      </c>
      <c r="CX53" s="755"/>
      <c r="CY53" s="755"/>
      <c r="CZ53" s="755"/>
      <c r="DA53" s="755"/>
      <c r="DB53" s="755"/>
      <c r="DC53" s="755"/>
      <c r="DD53" s="755" t="b">
        <f t="shared" si="96"/>
        <v>0</v>
      </c>
      <c r="DE53" s="755">
        <f t="shared" si="36"/>
        <v>28.854838723353325</v>
      </c>
      <c r="DF53" s="755">
        <v>32</v>
      </c>
      <c r="DG53" s="755">
        <f t="shared" si="97"/>
        <v>34</v>
      </c>
      <c r="DH53" s="673">
        <f t="shared" si="37"/>
        <v>5.1451612766466743</v>
      </c>
      <c r="DI53" s="673">
        <f t="shared" si="38"/>
        <v>2</v>
      </c>
      <c r="DJ53" s="766" t="b">
        <f t="shared" si="39"/>
        <v>0</v>
      </c>
      <c r="DK53" s="673"/>
      <c r="DL53" s="766">
        <f t="shared" si="40"/>
        <v>5.1451612766466743</v>
      </c>
      <c r="DM53" s="766">
        <f t="shared" si="41"/>
        <v>3.7938308059500568E-2</v>
      </c>
      <c r="DN53" s="766">
        <f t="shared" si="42"/>
        <v>2.5374639305352316E-3</v>
      </c>
      <c r="DO53" s="766">
        <f t="shared" si="43"/>
        <v>5.2442170769035474</v>
      </c>
      <c r="DP53" s="766">
        <f t="shared" si="44"/>
        <v>2.5987192227634495</v>
      </c>
      <c r="DQ53" s="766">
        <f t="shared" si="45"/>
        <v>4.5316932621985924</v>
      </c>
      <c r="DR53" s="766">
        <f t="shared" si="46"/>
        <v>8.9110735093701834</v>
      </c>
      <c r="DS53" s="766">
        <f t="shared" si="47"/>
        <v>2.4660664973845954</v>
      </c>
      <c r="DT53" s="766">
        <f t="shared" si="48"/>
        <v>3.5090859820451787</v>
      </c>
      <c r="DU53" s="766">
        <f t="shared" si="49"/>
        <v>47.422885074375714</v>
      </c>
      <c r="DV53" s="766">
        <f t="shared" si="50"/>
        <v>7.687559199140825</v>
      </c>
      <c r="DW53" s="766">
        <f t="shared" si="51"/>
        <v>29.922262168877126</v>
      </c>
      <c r="DX53" s="766">
        <f t="shared" si="52"/>
        <v>13.601028258580511</v>
      </c>
      <c r="DY53" s="766">
        <f t="shared" si="53"/>
        <v>5.1451612766466743</v>
      </c>
      <c r="DZ53" s="766">
        <f t="shared" si="54"/>
        <v>3.768337429402409</v>
      </c>
      <c r="EB53" s="755"/>
      <c r="EC53" s="755"/>
      <c r="ED53" s="755"/>
      <c r="EE53" s="755"/>
      <c r="EF53" s="755" t="b">
        <f t="shared" si="98"/>
        <v>0</v>
      </c>
      <c r="EG53" s="755">
        <f t="shared" si="55"/>
        <v>18.407245655891117</v>
      </c>
      <c r="EH53" s="755">
        <v>32</v>
      </c>
      <c r="EI53" s="755">
        <f t="shared" si="103"/>
        <v>23</v>
      </c>
      <c r="EJ53" s="673">
        <f t="shared" si="56"/>
        <v>4.5927543441088829</v>
      </c>
      <c r="EK53" s="673">
        <f t="shared" si="57"/>
        <v>2.2510196371999172</v>
      </c>
      <c r="EL53" s="755" t="b">
        <f t="shared" si="58"/>
        <v>0</v>
      </c>
      <c r="EM53" s="673"/>
      <c r="EN53" s="755">
        <f t="shared" si="59"/>
        <v>4.5927543441088829</v>
      </c>
      <c r="EO53" s="755">
        <f t="shared" si="60"/>
        <v>5.5646008543434058E-2</v>
      </c>
      <c r="EP53" s="755">
        <f t="shared" si="61"/>
        <v>3.7218248988797431E-3</v>
      </c>
      <c r="EQ53" s="755">
        <f t="shared" si="62"/>
        <v>5.0951307845150291</v>
      </c>
      <c r="ER53" s="755">
        <f t="shared" si="63"/>
        <v>2.5621885749663442</v>
      </c>
      <c r="ES53" s="755">
        <f t="shared" si="64"/>
        <v>4.11785918321503</v>
      </c>
      <c r="ET53" s="755">
        <f t="shared" si="65"/>
        <v>8.0973145709031282</v>
      </c>
      <c r="EU53" s="755">
        <f t="shared" si="66"/>
        <v>2.3438695699183607</v>
      </c>
      <c r="EV53" s="755">
        <f t="shared" si="67"/>
        <v>3.3398730080665948</v>
      </c>
      <c r="EW53" s="755">
        <f t="shared" si="68"/>
        <v>69.557510679292577</v>
      </c>
      <c r="EX53" s="755">
        <f t="shared" si="69"/>
        <v>11.275726482125489</v>
      </c>
      <c r="EY53" s="755">
        <f t="shared" si="99"/>
        <v>20.400385035953271</v>
      </c>
      <c r="EZ53" s="755">
        <f t="shared" si="70"/>
        <v>9.272902289069668</v>
      </c>
      <c r="FA53" s="755">
        <f t="shared" si="71"/>
        <v>4.5927543441088829</v>
      </c>
      <c r="FB53" s="755">
        <f t="shared" si="72"/>
        <v>3.5366481086016197</v>
      </c>
      <c r="FC53" s="755"/>
      <c r="FD53" s="755"/>
      <c r="FE53" s="755"/>
      <c r="FF53" s="755"/>
      <c r="FG53" s="755"/>
      <c r="FH53" s="755"/>
      <c r="FI53" s="755"/>
      <c r="FJ53" s="755"/>
      <c r="FK53" s="755" t="b">
        <f t="shared" si="100"/>
        <v>0</v>
      </c>
      <c r="FL53" s="755">
        <f t="shared" si="73"/>
        <v>30.231662570597592</v>
      </c>
      <c r="FM53" s="755">
        <v>32</v>
      </c>
      <c r="FN53" s="767">
        <f t="shared" si="101"/>
        <v>34</v>
      </c>
      <c r="FO53" s="673">
        <f t="shared" si="74"/>
        <v>3.768337429402409</v>
      </c>
      <c r="FP53" s="673">
        <f t="shared" si="75"/>
        <v>2.2510196371999172</v>
      </c>
      <c r="FQ53" s="766" t="b">
        <f t="shared" si="76"/>
        <v>0</v>
      </c>
      <c r="FR53" s="673"/>
      <c r="FS53" s="767">
        <f t="shared" si="77"/>
        <v>3.768337429402409</v>
      </c>
      <c r="FT53" s="766">
        <f t="shared" si="78"/>
        <v>3.7938308059500568E-2</v>
      </c>
      <c r="FU53" s="766">
        <f t="shared" si="79"/>
        <v>2.5374639305352316E-3</v>
      </c>
      <c r="FV53" s="766">
        <f t="shared" si="80"/>
        <v>5.2442170769035474</v>
      </c>
      <c r="FW53" s="766">
        <f t="shared" si="81"/>
        <v>2.5987192227634495</v>
      </c>
      <c r="FX53" s="766">
        <f t="shared" si="82"/>
        <v>5.1004652614877921</v>
      </c>
      <c r="FY53" s="766">
        <f t="shared" si="83"/>
        <v>10.029500729062132</v>
      </c>
      <c r="FZ53" s="766">
        <f t="shared" si="84"/>
        <v>2.4660664973845954</v>
      </c>
      <c r="GA53" s="766">
        <f t="shared" si="85"/>
        <v>3.5090859820451787</v>
      </c>
      <c r="GB53" s="766">
        <f t="shared" si="86"/>
        <v>47.422885074375714</v>
      </c>
      <c r="GC53" s="766">
        <f t="shared" si="87"/>
        <v>7.687559199140825</v>
      </c>
      <c r="GD53" s="766">
        <f t="shared" si="88"/>
        <v>29.922262168877126</v>
      </c>
      <c r="GE53" s="766">
        <f t="shared" si="89"/>
        <v>13.601028258580511</v>
      </c>
      <c r="GF53" s="766">
        <f t="shared" si="90"/>
        <v>5.8940320548351313</v>
      </c>
      <c r="GG53" s="766">
        <f t="shared" si="91"/>
        <v>3.768337429402409</v>
      </c>
    </row>
    <row r="54" spans="1:189" ht="21.75" customHeight="1" thickTop="1">
      <c r="B54" s="169"/>
      <c r="C54" s="161"/>
      <c r="D54" s="1071" t="s">
        <v>1725</v>
      </c>
      <c r="E54" s="1071"/>
      <c r="F54" s="1071"/>
      <c r="G54" s="1071"/>
      <c r="H54" s="1071"/>
      <c r="I54" s="1071"/>
      <c r="J54" s="1071"/>
      <c r="K54" s="1071"/>
      <c r="L54" s="1071"/>
      <c r="M54" s="1071"/>
      <c r="N54" s="1066" t="s">
        <v>1053</v>
      </c>
      <c r="O54" s="1066"/>
      <c r="P54" s="1066"/>
      <c r="Q54" s="1066"/>
      <c r="R54" s="1066"/>
      <c r="S54" s="1066"/>
      <c r="T54" s="1066"/>
      <c r="U54" s="1066"/>
      <c r="V54" s="803"/>
      <c r="W54" s="803"/>
      <c r="X54" s="602"/>
      <c r="Y54" s="161"/>
      <c r="Z54" s="161"/>
      <c r="AA54" s="161"/>
      <c r="AB54" s="161"/>
      <c r="AC54" s="161"/>
      <c r="AD54" s="161"/>
      <c r="AE54" s="161"/>
      <c r="AF54" s="161"/>
      <c r="AG54" s="161"/>
      <c r="AH54" s="161"/>
      <c r="AI54" s="161"/>
      <c r="AJ54" s="161"/>
      <c r="AK54" s="168"/>
      <c r="AL54" s="161"/>
      <c r="AM54" s="161"/>
      <c r="AZ54" s="32"/>
      <c r="BA54" s="32"/>
      <c r="BB54" s="32"/>
      <c r="BC54" s="32"/>
      <c r="BY54" s="753" t="b">
        <f t="shared" si="94"/>
        <v>0</v>
      </c>
      <c r="BZ54" s="753">
        <f t="shared" si="19"/>
        <v>18.878046666571962</v>
      </c>
      <c r="CA54" s="751">
        <v>33</v>
      </c>
      <c r="CB54" s="752">
        <f t="shared" si="102"/>
        <v>23.5</v>
      </c>
      <c r="CC54" s="673">
        <f t="shared" si="20"/>
        <v>4.6219533334280403</v>
      </c>
      <c r="CD54" s="91">
        <f t="shared" si="9"/>
        <v>2</v>
      </c>
      <c r="CE54" s="752" t="b">
        <f t="shared" si="21"/>
        <v>0</v>
      </c>
      <c r="CF54" s="673"/>
      <c r="CG54" s="752">
        <f t="shared" si="22"/>
        <v>4.6219533334280403</v>
      </c>
      <c r="CH54" s="752">
        <f t="shared" si="23"/>
        <v>5.4485481394370719E-2</v>
      </c>
      <c r="CI54" s="752">
        <f t="shared" si="24"/>
        <v>3.6442042581137759E-3</v>
      </c>
      <c r="CJ54" s="755">
        <f t="shared" si="25"/>
        <v>5.1045652165506059</v>
      </c>
      <c r="CK54" s="755">
        <f t="shared" si="26"/>
        <v>2.5645356956975851</v>
      </c>
      <c r="CL54" s="755">
        <f t="shared" si="27"/>
        <v>4.1396135284714779</v>
      </c>
      <c r="CM54" s="755">
        <f t="shared" si="28"/>
        <v>8.1400920844090567</v>
      </c>
      <c r="CN54" s="755">
        <f t="shared" si="29"/>
        <v>2.3504491948543045</v>
      </c>
      <c r="CO54" s="755">
        <f t="shared" si="30"/>
        <v>3.3489802127151216</v>
      </c>
      <c r="CP54" s="755">
        <f t="shared" si="31"/>
        <v>68.1068517429634</v>
      </c>
      <c r="CQ54" s="755">
        <f t="shared" si="32"/>
        <v>11.040565200113589</v>
      </c>
      <c r="CR54" s="755">
        <f t="shared" si="95"/>
        <v>20.834908143388187</v>
      </c>
      <c r="CS54" s="755">
        <f t="shared" si="33"/>
        <v>9.4704127924491743</v>
      </c>
      <c r="CT54" s="755">
        <f t="shared" si="34"/>
        <v>4.6219533334280403</v>
      </c>
      <c r="CU54" s="755">
        <f t="shared" si="35"/>
        <v>3.5491462530829487</v>
      </c>
      <c r="CX54" s="755"/>
      <c r="CY54" s="755"/>
      <c r="CZ54" s="755"/>
      <c r="DA54" s="755"/>
      <c r="DB54" s="755"/>
      <c r="DC54" s="755"/>
      <c r="DD54" s="755" t="b">
        <f t="shared" si="96"/>
        <v>0</v>
      </c>
      <c r="DE54" s="755">
        <f t="shared" si="36"/>
        <v>28.37663355896332</v>
      </c>
      <c r="DF54" s="755">
        <v>33</v>
      </c>
      <c r="DG54" s="755">
        <f t="shared" si="97"/>
        <v>33.5</v>
      </c>
      <c r="DH54" s="673">
        <f t="shared" si="37"/>
        <v>5.1233664410366817</v>
      </c>
      <c r="DI54" s="673">
        <f t="shared" si="38"/>
        <v>2</v>
      </c>
      <c r="DJ54" s="766" t="b">
        <f t="shared" si="39"/>
        <v>0</v>
      </c>
      <c r="DK54" s="673"/>
      <c r="DL54" s="766">
        <f t="shared" si="40"/>
        <v>5.1233664410366817</v>
      </c>
      <c r="DM54" s="766">
        <f t="shared" si="41"/>
        <v>3.8493144188793717E-2</v>
      </c>
      <c r="DN54" s="766">
        <f t="shared" si="42"/>
        <v>2.5745735629213438E-3</v>
      </c>
      <c r="DO54" s="766">
        <f t="shared" si="43"/>
        <v>5.2393728453368249</v>
      </c>
      <c r="DP54" s="766">
        <f t="shared" si="44"/>
        <v>2.5975507993596363</v>
      </c>
      <c r="DQ54" s="766">
        <f t="shared" si="45"/>
        <v>4.5152744089621057</v>
      </c>
      <c r="DR54" s="766">
        <f t="shared" si="46"/>
        <v>8.8787876507154628</v>
      </c>
      <c r="DS54" s="766">
        <f t="shared" si="47"/>
        <v>2.4613324297962809</v>
      </c>
      <c r="DT54" s="766">
        <f t="shared" si="48"/>
        <v>3.5025276223207786</v>
      </c>
      <c r="DU54" s="766">
        <f t="shared" si="49"/>
        <v>48.116430235992148</v>
      </c>
      <c r="DV54" s="766">
        <f t="shared" si="50"/>
        <v>7.7999873965995441</v>
      </c>
      <c r="DW54" s="766">
        <f t="shared" si="51"/>
        <v>29.490965831013725</v>
      </c>
      <c r="DX54" s="766">
        <f t="shared" si="52"/>
        <v>13.404984468642601</v>
      </c>
      <c r="DY54" s="766">
        <f t="shared" si="53"/>
        <v>5.1233664410366817</v>
      </c>
      <c r="DZ54" s="766">
        <f t="shared" si="54"/>
        <v>3.7593783442805253</v>
      </c>
      <c r="EB54" s="755"/>
      <c r="EC54" s="755"/>
      <c r="ED54" s="755"/>
      <c r="EE54" s="755"/>
      <c r="EF54" s="755" t="b">
        <f t="shared" si="98"/>
        <v>0</v>
      </c>
      <c r="EG54" s="755">
        <f t="shared" si="55"/>
        <v>18.878046666571962</v>
      </c>
      <c r="EH54" s="755">
        <v>33</v>
      </c>
      <c r="EI54" s="755">
        <f t="shared" si="103"/>
        <v>23.5</v>
      </c>
      <c r="EJ54" s="673">
        <f t="shared" si="56"/>
        <v>4.6219533334280403</v>
      </c>
      <c r="EK54" s="673">
        <f t="shared" si="57"/>
        <v>2.2510196371999172</v>
      </c>
      <c r="EL54" s="755" t="b">
        <f t="shared" si="58"/>
        <v>0</v>
      </c>
      <c r="EM54" s="673"/>
      <c r="EN54" s="755">
        <f t="shared" si="59"/>
        <v>4.6219533334280403</v>
      </c>
      <c r="EO54" s="755">
        <f t="shared" si="60"/>
        <v>5.4485481394370719E-2</v>
      </c>
      <c r="EP54" s="755">
        <f t="shared" si="61"/>
        <v>3.6442042581137759E-3</v>
      </c>
      <c r="EQ54" s="755">
        <f t="shared" si="62"/>
        <v>5.1045652165506059</v>
      </c>
      <c r="ER54" s="755">
        <f t="shared" si="63"/>
        <v>2.5645356956975851</v>
      </c>
      <c r="ES54" s="755">
        <f t="shared" si="64"/>
        <v>4.1396135284714779</v>
      </c>
      <c r="ET54" s="755">
        <f t="shared" si="65"/>
        <v>8.1400920844090567</v>
      </c>
      <c r="EU54" s="755">
        <f t="shared" si="66"/>
        <v>2.3504491948543045</v>
      </c>
      <c r="EV54" s="755">
        <f t="shared" si="67"/>
        <v>3.3489802127151216</v>
      </c>
      <c r="EW54" s="755">
        <f t="shared" si="68"/>
        <v>68.1068517429634</v>
      </c>
      <c r="EX54" s="755">
        <f t="shared" si="69"/>
        <v>11.040565200113589</v>
      </c>
      <c r="EY54" s="755">
        <f t="shared" si="99"/>
        <v>20.834908143388187</v>
      </c>
      <c r="EZ54" s="755">
        <f t="shared" si="70"/>
        <v>9.4704127924491743</v>
      </c>
      <c r="FA54" s="755">
        <f t="shared" si="71"/>
        <v>4.6219533334280403</v>
      </c>
      <c r="FB54" s="755">
        <f t="shared" si="72"/>
        <v>3.5491462530829487</v>
      </c>
      <c r="FC54" s="755"/>
      <c r="FD54" s="755"/>
      <c r="FE54" s="755"/>
      <c r="FF54" s="755"/>
      <c r="FG54" s="755"/>
      <c r="FH54" s="755"/>
      <c r="FI54" s="755"/>
      <c r="FJ54" s="755"/>
      <c r="FK54" s="755" t="b">
        <f t="shared" si="100"/>
        <v>0</v>
      </c>
      <c r="FL54" s="755">
        <f t="shared" si="73"/>
        <v>29.740621655719476</v>
      </c>
      <c r="FM54" s="755">
        <v>33</v>
      </c>
      <c r="FN54" s="767">
        <f t="shared" si="101"/>
        <v>33.5</v>
      </c>
      <c r="FO54" s="673">
        <f t="shared" si="74"/>
        <v>3.7593783442805253</v>
      </c>
      <c r="FP54" s="673">
        <f t="shared" si="75"/>
        <v>2.2510196371999172</v>
      </c>
      <c r="FQ54" s="766" t="b">
        <f t="shared" si="76"/>
        <v>0</v>
      </c>
      <c r="FR54" s="673"/>
      <c r="FS54" s="767">
        <f t="shared" si="77"/>
        <v>3.7593783442805253</v>
      </c>
      <c r="FT54" s="766">
        <f t="shared" si="78"/>
        <v>3.8493144188793717E-2</v>
      </c>
      <c r="FU54" s="766">
        <f t="shared" si="79"/>
        <v>2.5745735629213438E-3</v>
      </c>
      <c r="FV54" s="766">
        <f t="shared" si="80"/>
        <v>5.2393728453368249</v>
      </c>
      <c r="FW54" s="766">
        <f t="shared" si="81"/>
        <v>2.5975507993596363</v>
      </c>
      <c r="FX54" s="766">
        <f t="shared" si="82"/>
        <v>5.081985680959975</v>
      </c>
      <c r="FY54" s="766">
        <f t="shared" si="83"/>
        <v>9.9931626781443121</v>
      </c>
      <c r="FZ54" s="766">
        <f t="shared" si="84"/>
        <v>2.4613324297962809</v>
      </c>
      <c r="GA54" s="766">
        <f t="shared" si="85"/>
        <v>3.5025276223207786</v>
      </c>
      <c r="GB54" s="766">
        <f t="shared" si="86"/>
        <v>48.116430235992148</v>
      </c>
      <c r="GC54" s="766">
        <f t="shared" si="87"/>
        <v>7.7999873965995441</v>
      </c>
      <c r="GD54" s="766">
        <f t="shared" si="88"/>
        <v>29.490965831013725</v>
      </c>
      <c r="GE54" s="766">
        <f t="shared" si="89"/>
        <v>13.404984468642601</v>
      </c>
      <c r="GF54" s="766">
        <f t="shared" si="90"/>
        <v>5.8698869066171673</v>
      </c>
      <c r="GG54" s="766">
        <f t="shared" si="91"/>
        <v>3.7593783442805253</v>
      </c>
    </row>
    <row r="55" spans="1:189" ht="30" customHeight="1">
      <c r="B55" s="169"/>
      <c r="C55" s="161"/>
      <c r="D55" s="161"/>
      <c r="E55" s="161"/>
      <c r="F55" s="161"/>
      <c r="G55" s="161"/>
      <c r="H55" s="161"/>
      <c r="I55" s="161"/>
      <c r="J55" s="161"/>
      <c r="K55" s="161"/>
      <c r="L55" s="161"/>
      <c r="M55" s="161"/>
      <c r="N55" s="1066"/>
      <c r="O55" s="1066"/>
      <c r="P55" s="1066"/>
      <c r="Q55" s="1066"/>
      <c r="R55" s="1066"/>
      <c r="S55" s="1066"/>
      <c r="T55" s="1066"/>
      <c r="U55" s="1066"/>
      <c r="V55" s="803"/>
      <c r="W55" s="835"/>
      <c r="X55" s="602"/>
      <c r="Y55" s="161"/>
      <c r="Z55" s="161"/>
      <c r="AA55" s="161"/>
      <c r="AB55" s="161"/>
      <c r="AC55" s="189" t="str">
        <f>IF(W8&gt;10,"The EC i+r exceeds the graph axis","")</f>
        <v/>
      </c>
      <c r="AD55" s="163"/>
      <c r="AE55" s="834" t="str">
        <f>IF(OR(X8&gt;30,Z8&gt;30),"At least one SAR value exceeds the graph axis","")</f>
        <v/>
      </c>
      <c r="AF55" s="834"/>
      <c r="AG55" s="834"/>
      <c r="AH55" s="834"/>
      <c r="AI55" s="834"/>
      <c r="AJ55" s="834"/>
      <c r="AK55" s="168"/>
      <c r="AL55" s="834"/>
      <c r="AM55" s="161"/>
      <c r="BA55" s="699"/>
      <c r="BB55" s="59"/>
      <c r="BC55" s="59"/>
      <c r="BY55" s="753" t="b">
        <f t="shared" si="94"/>
        <v>0</v>
      </c>
      <c r="BZ55" s="753">
        <f t="shared" si="19"/>
        <v>19.349330467791919</v>
      </c>
      <c r="CA55" s="751">
        <v>34</v>
      </c>
      <c r="CB55" s="752">
        <f t="shared" si="102"/>
        <v>24</v>
      </c>
      <c r="CC55" s="673">
        <f t="shared" si="20"/>
        <v>4.6506695322080809</v>
      </c>
      <c r="CD55" s="91">
        <f t="shared" si="9"/>
        <v>2</v>
      </c>
      <c r="CE55" s="752" t="b">
        <f t="shared" si="21"/>
        <v>0</v>
      </c>
      <c r="CF55" s="673"/>
      <c r="CG55" s="752">
        <f t="shared" si="22"/>
        <v>4.6506695322080809</v>
      </c>
      <c r="CH55" s="752">
        <f t="shared" si="23"/>
        <v>5.3372836071016082E-2</v>
      </c>
      <c r="CI55" s="752">
        <f t="shared" si="24"/>
        <v>3.5697861430237939E-3</v>
      </c>
      <c r="CJ55" s="755">
        <f t="shared" si="25"/>
        <v>5.1136531664026057</v>
      </c>
      <c r="CK55" s="755">
        <f t="shared" si="26"/>
        <v>2.5667920446545178</v>
      </c>
      <c r="CL55" s="755">
        <f t="shared" si="27"/>
        <v>4.1610211717282315</v>
      </c>
      <c r="CM55" s="755">
        <f t="shared" si="28"/>
        <v>8.1821878467843678</v>
      </c>
      <c r="CN55" s="755">
        <f t="shared" si="29"/>
        <v>2.3569062862525758</v>
      </c>
      <c r="CO55" s="755">
        <f t="shared" si="30"/>
        <v>3.3579182631518734</v>
      </c>
      <c r="CP55" s="755">
        <f t="shared" si="31"/>
        <v>66.716045088770102</v>
      </c>
      <c r="CQ55" s="755">
        <f t="shared" si="32"/>
        <v>10.815106363691021</v>
      </c>
      <c r="CR55" s="755">
        <f t="shared" si="95"/>
        <v>21.269246372621861</v>
      </c>
      <c r="CS55" s="755">
        <f t="shared" si="33"/>
        <v>9.6678392602826637</v>
      </c>
      <c r="CT55" s="755">
        <f t="shared" si="34"/>
        <v>4.6506695322080809</v>
      </c>
      <c r="CU55" s="755">
        <f t="shared" si="35"/>
        <v>3.5614091126162855</v>
      </c>
      <c r="CX55" s="755"/>
      <c r="CY55" s="755"/>
      <c r="CZ55" s="755"/>
      <c r="DA55" s="755"/>
      <c r="DB55" s="755"/>
      <c r="DC55" s="755"/>
      <c r="DD55" s="755" t="b">
        <f t="shared" si="96"/>
        <v>0</v>
      </c>
      <c r="DE55" s="755">
        <f t="shared" si="36"/>
        <v>27.898685583681388</v>
      </c>
      <c r="DF55" s="755">
        <v>34</v>
      </c>
      <c r="DG55" s="755">
        <f t="shared" si="97"/>
        <v>33</v>
      </c>
      <c r="DH55" s="673">
        <f t="shared" si="37"/>
        <v>5.1013144163186128</v>
      </c>
      <c r="DI55" s="673">
        <f t="shared" si="38"/>
        <v>2</v>
      </c>
      <c r="DJ55" s="766" t="b">
        <f t="shared" si="39"/>
        <v>0</v>
      </c>
      <c r="DK55" s="673"/>
      <c r="DL55" s="766">
        <f t="shared" si="40"/>
        <v>5.1013144163186128</v>
      </c>
      <c r="DM55" s="766">
        <f t="shared" si="41"/>
        <v>3.9064622899056357E-2</v>
      </c>
      <c r="DN55" s="766">
        <f t="shared" si="42"/>
        <v>2.6127963168745766E-3</v>
      </c>
      <c r="DO55" s="766">
        <f t="shared" si="43"/>
        <v>5.2343954533170542</v>
      </c>
      <c r="DP55" s="766">
        <f t="shared" si="44"/>
        <v>2.5963489746491306</v>
      </c>
      <c r="DQ55" s="766">
        <f t="shared" si="45"/>
        <v>4.4986694813527377</v>
      </c>
      <c r="DR55" s="766">
        <f t="shared" si="46"/>
        <v>8.8461358973898054</v>
      </c>
      <c r="DS55" s="766">
        <f t="shared" si="47"/>
        <v>2.4565355473268777</v>
      </c>
      <c r="DT55" s="766">
        <f t="shared" si="48"/>
        <v>3.495882468215985</v>
      </c>
      <c r="DU55" s="766">
        <f t="shared" si="49"/>
        <v>48.83077862382045</v>
      </c>
      <c r="DV55" s="766">
        <f t="shared" si="50"/>
        <v>7.9157879328096064</v>
      </c>
      <c r="DW55" s="766">
        <f t="shared" si="51"/>
        <v>29.059540723927526</v>
      </c>
      <c r="DX55" s="766">
        <f t="shared" si="52"/>
        <v>13.208882147239784</v>
      </c>
      <c r="DY55" s="766">
        <f t="shared" si="53"/>
        <v>5.1013144163186128</v>
      </c>
      <c r="DZ55" s="766">
        <f t="shared" si="54"/>
        <v>3.7502989916067619</v>
      </c>
      <c r="EB55" s="755"/>
      <c r="EC55" s="755"/>
      <c r="ED55" s="755"/>
      <c r="EE55" s="755"/>
      <c r="EF55" s="755" t="b">
        <f t="shared" si="98"/>
        <v>0</v>
      </c>
      <c r="EG55" s="755">
        <f t="shared" si="55"/>
        <v>19.349330467791919</v>
      </c>
      <c r="EH55" s="755">
        <v>34</v>
      </c>
      <c r="EI55" s="755">
        <f t="shared" si="103"/>
        <v>24</v>
      </c>
      <c r="EJ55" s="673">
        <f t="shared" si="56"/>
        <v>4.6506695322080809</v>
      </c>
      <c r="EK55" s="673">
        <f t="shared" si="57"/>
        <v>2.2510196371999172</v>
      </c>
      <c r="EL55" s="755" t="b">
        <f t="shared" si="58"/>
        <v>0</v>
      </c>
      <c r="EM55" s="673"/>
      <c r="EN55" s="755">
        <f t="shared" si="59"/>
        <v>4.6506695322080809</v>
      </c>
      <c r="EO55" s="755">
        <f t="shared" si="60"/>
        <v>5.3372836071016082E-2</v>
      </c>
      <c r="EP55" s="755">
        <f t="shared" si="61"/>
        <v>3.5697861430237939E-3</v>
      </c>
      <c r="EQ55" s="755">
        <f t="shared" si="62"/>
        <v>5.1136531664026057</v>
      </c>
      <c r="ER55" s="755">
        <f t="shared" si="63"/>
        <v>2.5667920446545178</v>
      </c>
      <c r="ES55" s="755">
        <f t="shared" si="64"/>
        <v>4.1610211717282315</v>
      </c>
      <c r="ET55" s="755">
        <f t="shared" si="65"/>
        <v>8.1821878467843678</v>
      </c>
      <c r="EU55" s="755">
        <f t="shared" si="66"/>
        <v>2.3569062862525758</v>
      </c>
      <c r="EV55" s="755">
        <f t="shared" si="67"/>
        <v>3.3579182631518734</v>
      </c>
      <c r="EW55" s="755">
        <f t="shared" si="68"/>
        <v>66.716045088770102</v>
      </c>
      <c r="EX55" s="755">
        <f t="shared" si="69"/>
        <v>10.815106363691021</v>
      </c>
      <c r="EY55" s="755">
        <f t="shared" si="99"/>
        <v>21.269246372621861</v>
      </c>
      <c r="EZ55" s="755">
        <f t="shared" si="70"/>
        <v>9.6678392602826637</v>
      </c>
      <c r="FA55" s="755">
        <f t="shared" si="71"/>
        <v>4.6506695322080809</v>
      </c>
      <c r="FB55" s="755">
        <f t="shared" si="72"/>
        <v>3.5614091126162855</v>
      </c>
      <c r="FC55" s="755"/>
      <c r="FD55" s="755"/>
      <c r="FE55" s="755"/>
      <c r="FF55" s="755"/>
      <c r="FG55" s="755"/>
      <c r="FH55" s="755"/>
      <c r="FI55" s="755"/>
      <c r="FJ55" s="755"/>
      <c r="FK55" s="755" t="b">
        <f t="shared" si="100"/>
        <v>0</v>
      </c>
      <c r="FL55" s="755">
        <f t="shared" si="73"/>
        <v>29.249701008393238</v>
      </c>
      <c r="FM55" s="755">
        <v>34</v>
      </c>
      <c r="FN55" s="767">
        <f t="shared" si="101"/>
        <v>33</v>
      </c>
      <c r="FO55" s="673">
        <f t="shared" si="74"/>
        <v>3.7502989916067619</v>
      </c>
      <c r="FP55" s="673">
        <f t="shared" si="75"/>
        <v>2.2510196371999172</v>
      </c>
      <c r="FQ55" s="766" t="b">
        <f t="shared" si="76"/>
        <v>0</v>
      </c>
      <c r="FR55" s="673"/>
      <c r="FS55" s="767">
        <f t="shared" si="77"/>
        <v>3.7502989916067619</v>
      </c>
      <c r="FT55" s="766">
        <f t="shared" si="78"/>
        <v>3.9064622899056357E-2</v>
      </c>
      <c r="FU55" s="766">
        <f t="shared" si="79"/>
        <v>2.6127963168745766E-3</v>
      </c>
      <c r="FV55" s="766">
        <f t="shared" si="80"/>
        <v>5.2343954533170542</v>
      </c>
      <c r="FW55" s="766">
        <f t="shared" si="81"/>
        <v>2.5963489746491306</v>
      </c>
      <c r="FX55" s="766">
        <f t="shared" si="82"/>
        <v>5.06329667189849</v>
      </c>
      <c r="FY55" s="766">
        <f t="shared" si="83"/>
        <v>9.9564128091817814</v>
      </c>
      <c r="FZ55" s="766">
        <f t="shared" si="84"/>
        <v>2.4565355473268777</v>
      </c>
      <c r="GA55" s="766">
        <f t="shared" si="85"/>
        <v>3.495882468215985</v>
      </c>
      <c r="GB55" s="766">
        <f t="shared" si="86"/>
        <v>48.83077862382045</v>
      </c>
      <c r="GC55" s="766">
        <f t="shared" si="87"/>
        <v>7.9157879328096064</v>
      </c>
      <c r="GD55" s="766">
        <f t="shared" si="88"/>
        <v>29.059540723927526</v>
      </c>
      <c r="GE55" s="766">
        <f t="shared" si="89"/>
        <v>13.208882147239784</v>
      </c>
      <c r="GF55" s="766">
        <f t="shared" si="90"/>
        <v>5.8454555174296834</v>
      </c>
      <c r="GG55" s="766">
        <f t="shared" si="91"/>
        <v>3.7502989916067619</v>
      </c>
    </row>
    <row r="56" spans="1:189" ht="87.5" customHeight="1" thickBot="1">
      <c r="B56" s="169"/>
      <c r="C56" s="161"/>
      <c r="D56" s="161"/>
      <c r="E56" s="1091" t="s">
        <v>504</v>
      </c>
      <c r="F56" s="1091"/>
      <c r="G56" s="1091"/>
      <c r="H56" s="1091"/>
      <c r="I56" s="161"/>
      <c r="J56" s="161"/>
      <c r="K56" s="161"/>
      <c r="L56" s="643"/>
      <c r="M56" s="177"/>
      <c r="N56" s="1112" t="s">
        <v>1486</v>
      </c>
      <c r="O56" s="1112"/>
      <c r="P56" s="1112"/>
      <c r="Q56" s="1112"/>
      <c r="R56" s="161"/>
      <c r="S56" s="1059" t="s">
        <v>1727</v>
      </c>
      <c r="T56" s="1059"/>
      <c r="U56" s="1097" t="str">
        <f>IF(W60&gt;0.65,"LF value is considered too high, click here for more detail","")</f>
        <v/>
      </c>
      <c r="V56" s="1097"/>
      <c r="W56" s="811" t="s">
        <v>1664</v>
      </c>
      <c r="X56" s="1059" t="s">
        <v>1727</v>
      </c>
      <c r="Y56" s="1059"/>
      <c r="Z56" s="1059"/>
      <c r="AA56" s="161"/>
      <c r="AB56" s="161"/>
      <c r="AC56" s="161"/>
      <c r="AD56" s="161"/>
      <c r="AE56" s="161"/>
      <c r="AF56" s="161"/>
      <c r="AG56" s="161"/>
      <c r="AH56" s="161"/>
      <c r="AI56" s="161"/>
      <c r="AJ56" s="161"/>
      <c r="AK56" s="168"/>
      <c r="AL56" s="161"/>
      <c r="AM56" s="161"/>
      <c r="BA56" s="59">
        <f>AF7/AQ82/SQRT(((AU10+(AE7/AQ82))/2))</f>
        <v>21.836586547780627</v>
      </c>
      <c r="BB56" s="59">
        <f>AF8/AR82/SQRT(((AU11+(AE8/AR82))/2))</f>
        <v>241.16476188312924</v>
      </c>
      <c r="BC56" s="59">
        <f>AF9/AS82/SQRT(((AU12+(AE9/AS82))/2))</f>
        <v>320.8128809509829</v>
      </c>
      <c r="BY56" s="753" t="b">
        <f t="shared" si="94"/>
        <v>0</v>
      </c>
      <c r="BZ56" s="753">
        <f t="shared" si="19"/>
        <v>19.821079345357475</v>
      </c>
      <c r="CA56" s="751">
        <v>35</v>
      </c>
      <c r="CB56" s="752">
        <f t="shared" si="102"/>
        <v>24.5</v>
      </c>
      <c r="CC56" s="673">
        <f t="shared" si="20"/>
        <v>4.6789206546425239</v>
      </c>
      <c r="CD56" s="91">
        <f t="shared" si="9"/>
        <v>2</v>
      </c>
      <c r="CE56" s="752" t="b">
        <f t="shared" si="21"/>
        <v>0</v>
      </c>
      <c r="CF56" s="673"/>
      <c r="CG56" s="752">
        <f t="shared" si="22"/>
        <v>4.6789206546425239</v>
      </c>
      <c r="CH56" s="752">
        <f t="shared" si="23"/>
        <v>5.2305159973911296E-2</v>
      </c>
      <c r="CI56" s="752">
        <f t="shared" si="24"/>
        <v>3.4983757474508267E-3</v>
      </c>
      <c r="CJ56" s="755">
        <f t="shared" si="25"/>
        <v>5.122413473649714</v>
      </c>
      <c r="CK56" s="755">
        <f t="shared" si="26"/>
        <v>2.5689628088301553</v>
      </c>
      <c r="CL56" s="755">
        <f t="shared" si="27"/>
        <v>4.1820946919264257</v>
      </c>
      <c r="CM56" s="755">
        <f t="shared" si="28"/>
        <v>8.2236265931253314</v>
      </c>
      <c r="CN56" s="755">
        <f t="shared" si="29"/>
        <v>2.3632456115194227</v>
      </c>
      <c r="CO56" s="755">
        <f t="shared" si="30"/>
        <v>3.3666937316393608</v>
      </c>
      <c r="CP56" s="755">
        <f t="shared" si="31"/>
        <v>65.381449967389116</v>
      </c>
      <c r="CQ56" s="755">
        <f t="shared" si="32"/>
        <v>10.598759783629307</v>
      </c>
      <c r="CR56" s="755">
        <f t="shared" si="95"/>
        <v>21.703403652072065</v>
      </c>
      <c r="CS56" s="755">
        <f t="shared" si="33"/>
        <v>9.8651834782145738</v>
      </c>
      <c r="CT56" s="755">
        <f t="shared" si="34"/>
        <v>4.6789206546425239</v>
      </c>
      <c r="CU56" s="755">
        <f t="shared" si="35"/>
        <v>3.5734458790829513</v>
      </c>
      <c r="CX56" s="755"/>
      <c r="CY56" s="755"/>
      <c r="CZ56" s="755"/>
      <c r="DA56" s="755"/>
      <c r="DB56" s="755"/>
      <c r="DC56" s="755"/>
      <c r="DD56" s="755" t="b">
        <f t="shared" si="96"/>
        <v>0</v>
      </c>
      <c r="DE56" s="755">
        <f t="shared" si="36"/>
        <v>27.421001763108542</v>
      </c>
      <c r="DF56" s="755">
        <v>35</v>
      </c>
      <c r="DG56" s="755">
        <f t="shared" si="97"/>
        <v>32.5</v>
      </c>
      <c r="DH56" s="673">
        <f t="shared" si="37"/>
        <v>5.0789982368914579</v>
      </c>
      <c r="DI56" s="673">
        <f t="shared" si="38"/>
        <v>2</v>
      </c>
      <c r="DJ56" s="766" t="b">
        <f t="shared" si="39"/>
        <v>0</v>
      </c>
      <c r="DK56" s="673"/>
      <c r="DL56" s="766">
        <f t="shared" si="40"/>
        <v>5.0789982368914579</v>
      </c>
      <c r="DM56" s="766">
        <f t="shared" si="41"/>
        <v>3.9653507072420435E-2</v>
      </c>
      <c r="DN56" s="766">
        <f t="shared" si="42"/>
        <v>2.6521832169659264E-3</v>
      </c>
      <c r="DO56" s="766">
        <f t="shared" si="43"/>
        <v>5.2292793068792989</v>
      </c>
      <c r="DP56" s="766">
        <f t="shared" si="44"/>
        <v>2.5951122895949599</v>
      </c>
      <c r="DQ56" s="766">
        <f t="shared" si="45"/>
        <v>4.4818735026945271</v>
      </c>
      <c r="DR56" s="766">
        <f t="shared" si="46"/>
        <v>8.8131084633104493</v>
      </c>
      <c r="DS56" s="766">
        <f t="shared" si="47"/>
        <v>2.4516740445168947</v>
      </c>
      <c r="DT56" s="766">
        <f t="shared" si="48"/>
        <v>3.4891480284977536</v>
      </c>
      <c r="DU56" s="766">
        <f t="shared" si="49"/>
        <v>49.566883840525541</v>
      </c>
      <c r="DV56" s="766">
        <f t="shared" si="50"/>
        <v>8.0351153929871497</v>
      </c>
      <c r="DW56" s="766">
        <f t="shared" si="51"/>
        <v>28.627984857095964</v>
      </c>
      <c r="DX56" s="766">
        <f t="shared" si="52"/>
        <v>13.012720389589074</v>
      </c>
      <c r="DY56" s="766">
        <f t="shared" si="53"/>
        <v>5.0789982368914579</v>
      </c>
      <c r="DZ56" s="766">
        <f t="shared" si="54"/>
        <v>3.7410958990004208</v>
      </c>
      <c r="EB56" s="755"/>
      <c r="EC56" s="755"/>
      <c r="ED56" s="755"/>
      <c r="EE56" s="755"/>
      <c r="EF56" s="755" t="b">
        <f t="shared" si="98"/>
        <v>0</v>
      </c>
      <c r="EG56" s="755">
        <f t="shared" si="55"/>
        <v>19.821079345357475</v>
      </c>
      <c r="EH56" s="755">
        <v>35</v>
      </c>
      <c r="EI56" s="755">
        <f t="shared" si="103"/>
        <v>24.5</v>
      </c>
      <c r="EJ56" s="673">
        <f t="shared" si="56"/>
        <v>4.6789206546425239</v>
      </c>
      <c r="EK56" s="673">
        <f t="shared" si="57"/>
        <v>2.2510196371999172</v>
      </c>
      <c r="EL56" s="755" t="b">
        <f t="shared" si="58"/>
        <v>0</v>
      </c>
      <c r="EM56" s="673"/>
      <c r="EN56" s="755">
        <f t="shared" si="59"/>
        <v>4.6789206546425239</v>
      </c>
      <c r="EO56" s="755">
        <f t="shared" si="60"/>
        <v>5.2305159973911296E-2</v>
      </c>
      <c r="EP56" s="755">
        <f t="shared" si="61"/>
        <v>3.4983757474508267E-3</v>
      </c>
      <c r="EQ56" s="755">
        <f t="shared" si="62"/>
        <v>5.122413473649714</v>
      </c>
      <c r="ER56" s="755">
        <f t="shared" si="63"/>
        <v>2.5689628088301553</v>
      </c>
      <c r="ES56" s="755">
        <f t="shared" si="64"/>
        <v>4.1820946919264257</v>
      </c>
      <c r="ET56" s="755">
        <f t="shared" si="65"/>
        <v>8.2236265931253314</v>
      </c>
      <c r="EU56" s="755">
        <f t="shared" si="66"/>
        <v>2.3632456115194227</v>
      </c>
      <c r="EV56" s="755">
        <f t="shared" si="67"/>
        <v>3.3666937316393608</v>
      </c>
      <c r="EW56" s="755">
        <f t="shared" si="68"/>
        <v>65.381449967389116</v>
      </c>
      <c r="EX56" s="755">
        <f t="shared" si="69"/>
        <v>10.598759783629307</v>
      </c>
      <c r="EY56" s="755">
        <f t="shared" si="99"/>
        <v>21.703403652072065</v>
      </c>
      <c r="EZ56" s="755">
        <f t="shared" si="70"/>
        <v>9.8651834782145738</v>
      </c>
      <c r="FA56" s="755">
        <f t="shared" si="71"/>
        <v>4.6789206546425239</v>
      </c>
      <c r="FB56" s="755">
        <f t="shared" si="72"/>
        <v>3.5734458790829513</v>
      </c>
      <c r="FC56" s="755"/>
      <c r="FD56" s="755"/>
      <c r="FE56" s="755"/>
      <c r="FF56" s="755"/>
      <c r="FG56" s="755"/>
      <c r="FH56" s="755"/>
      <c r="FI56" s="755"/>
      <c r="FJ56" s="755"/>
      <c r="FK56" s="755" t="b">
        <f t="shared" si="100"/>
        <v>0</v>
      </c>
      <c r="FL56" s="755">
        <f t="shared" si="73"/>
        <v>28.75890410099958</v>
      </c>
      <c r="FM56" s="755">
        <v>35</v>
      </c>
      <c r="FN56" s="767">
        <f t="shared" si="101"/>
        <v>32.5</v>
      </c>
      <c r="FO56" s="673">
        <f t="shared" si="74"/>
        <v>3.7410958990004208</v>
      </c>
      <c r="FP56" s="673">
        <f t="shared" si="75"/>
        <v>2.2510196371999172</v>
      </c>
      <c r="FQ56" s="766" t="b">
        <f t="shared" si="76"/>
        <v>0</v>
      </c>
      <c r="FR56" s="673"/>
      <c r="FS56" s="767">
        <f t="shared" si="77"/>
        <v>3.7410958990004208</v>
      </c>
      <c r="FT56" s="766">
        <f t="shared" si="78"/>
        <v>3.9653507072420435E-2</v>
      </c>
      <c r="FU56" s="766">
        <f t="shared" si="79"/>
        <v>2.6521832169659264E-3</v>
      </c>
      <c r="FV56" s="766">
        <f t="shared" si="80"/>
        <v>5.2292793068792989</v>
      </c>
      <c r="FW56" s="766">
        <f t="shared" si="81"/>
        <v>2.5951122895949599</v>
      </c>
      <c r="FX56" s="766">
        <f t="shared" si="82"/>
        <v>5.0443926330056783</v>
      </c>
      <c r="FY56" s="766">
        <f t="shared" si="83"/>
        <v>9.9192401078423043</v>
      </c>
      <c r="FZ56" s="766">
        <f t="shared" si="84"/>
        <v>2.4516740445168947</v>
      </c>
      <c r="GA56" s="766">
        <f t="shared" si="85"/>
        <v>3.4891480284977536</v>
      </c>
      <c r="GB56" s="766">
        <f t="shared" si="86"/>
        <v>49.566883840525541</v>
      </c>
      <c r="GC56" s="766">
        <f t="shared" si="87"/>
        <v>8.0351153929871497</v>
      </c>
      <c r="GD56" s="766">
        <f t="shared" si="88"/>
        <v>28.627984857095964</v>
      </c>
      <c r="GE56" s="766">
        <f t="shared" si="89"/>
        <v>13.012720389589074</v>
      </c>
      <c r="GF56" s="766">
        <f t="shared" si="90"/>
        <v>5.820730123003143</v>
      </c>
      <c r="GG56" s="766">
        <f t="shared" si="91"/>
        <v>3.7410958990004208</v>
      </c>
    </row>
    <row r="57" spans="1:189" ht="24" customHeight="1" thickBot="1">
      <c r="B57" s="1088" t="s">
        <v>1591</v>
      </c>
      <c r="C57" s="1089"/>
      <c r="D57" s="1090"/>
      <c r="E57" s="1085" t="s">
        <v>1726</v>
      </c>
      <c r="F57" s="1086"/>
      <c r="G57" s="1086"/>
      <c r="H57" s="1087"/>
      <c r="I57" s="1094">
        <f>IF(ISTEXT(H8),C8,IF(ISTEXT(H9),C9,IF(ISTEXT(H10),C10,IF(ISTEXT(H11),C11,IF(ISTEXT(H12),C12,"")))))</f>
        <v>14310218</v>
      </c>
      <c r="J57" s="1095"/>
      <c r="K57" s="1096"/>
      <c r="L57" s="796" t="s">
        <v>902</v>
      </c>
      <c r="M57" s="797"/>
      <c r="N57" s="797"/>
      <c r="O57" s="797"/>
      <c r="P57" s="797"/>
      <c r="Q57" s="797"/>
      <c r="R57" s="779" t="s">
        <v>1611</v>
      </c>
      <c r="S57" s="798" t="s">
        <v>59</v>
      </c>
      <c r="T57" s="798" t="s">
        <v>605</v>
      </c>
      <c r="U57" s="802" t="s">
        <v>1528</v>
      </c>
      <c r="V57" s="801" t="str">
        <f>BA31</f>
        <v>High</v>
      </c>
      <c r="W57" s="831" t="s">
        <v>1611</v>
      </c>
      <c r="X57" s="798" t="s">
        <v>59</v>
      </c>
      <c r="Y57" s="798" t="s">
        <v>605</v>
      </c>
      <c r="Z57" s="799" t="s">
        <v>605</v>
      </c>
      <c r="AA57" s="161"/>
      <c r="AB57" s="161"/>
      <c r="AC57" s="161"/>
      <c r="AD57" s="161"/>
      <c r="AE57" s="161"/>
      <c r="AF57" s="161"/>
      <c r="AG57" s="161"/>
      <c r="AH57" s="161"/>
      <c r="AI57" s="161"/>
      <c r="AJ57" s="161"/>
      <c r="AK57" s="168"/>
      <c r="AL57" s="161"/>
      <c r="AM57" s="161"/>
      <c r="BA57" s="699" t="s">
        <v>1557</v>
      </c>
      <c r="BB57" s="699"/>
      <c r="BC57" s="699"/>
      <c r="BY57" s="753" t="b">
        <f t="shared" si="94"/>
        <v>0</v>
      </c>
      <c r="BZ57" s="753">
        <f t="shared" si="19"/>
        <v>20.293276579694538</v>
      </c>
      <c r="CA57" s="751">
        <v>36</v>
      </c>
      <c r="CB57" s="752">
        <f t="shared" si="102"/>
        <v>25</v>
      </c>
      <c r="CC57" s="673">
        <f t="shared" si="20"/>
        <v>4.7067234203054626</v>
      </c>
      <c r="CD57" s="91">
        <f t="shared" si="9"/>
        <v>2</v>
      </c>
      <c r="CE57" s="752" t="b">
        <f t="shared" si="21"/>
        <v>0</v>
      </c>
      <c r="CF57" s="673"/>
      <c r="CG57" s="752">
        <f t="shared" si="22"/>
        <v>4.7067234203054626</v>
      </c>
      <c r="CH57" s="752">
        <f t="shared" si="23"/>
        <v>5.127977239369489E-2</v>
      </c>
      <c r="CI57" s="752">
        <f t="shared" si="24"/>
        <v>3.4297937749617723E-3</v>
      </c>
      <c r="CJ57" s="755">
        <f t="shared" si="25"/>
        <v>5.1308636318889365</v>
      </c>
      <c r="CK57" s="755">
        <f t="shared" si="26"/>
        <v>2.5710527864932269</v>
      </c>
      <c r="CL57" s="755">
        <f t="shared" si="27"/>
        <v>4.2028459660542232</v>
      </c>
      <c r="CM57" s="755">
        <f t="shared" si="28"/>
        <v>8.2644316782153524</v>
      </c>
      <c r="CN57" s="755">
        <f t="shared" si="29"/>
        <v>2.3694716598341961</v>
      </c>
      <c r="CO57" s="755">
        <f t="shared" si="30"/>
        <v>3.375312807230757</v>
      </c>
      <c r="CP57" s="755">
        <f t="shared" si="31"/>
        <v>64.099715492118619</v>
      </c>
      <c r="CQ57" s="755">
        <f t="shared" si="32"/>
        <v>10.390982259322888</v>
      </c>
      <c r="CR57" s="755">
        <f t="shared" si="95"/>
        <v>22.137383748208261</v>
      </c>
      <c r="CS57" s="755">
        <f t="shared" si="33"/>
        <v>10.062447158276482</v>
      </c>
      <c r="CT57" s="755">
        <f t="shared" si="34"/>
        <v>4.7067234203054626</v>
      </c>
      <c r="CU57" s="755">
        <f t="shared" si="35"/>
        <v>3.5852652066226365</v>
      </c>
      <c r="CX57" s="755"/>
      <c r="CY57" s="755"/>
      <c r="CZ57" s="755"/>
      <c r="DA57" s="755"/>
      <c r="DB57" s="755"/>
      <c r="DC57" s="755"/>
      <c r="DD57" s="755" t="b">
        <f t="shared" si="96"/>
        <v>0</v>
      </c>
      <c r="DE57" s="755">
        <f t="shared" si="36"/>
        <v>26.943589361912142</v>
      </c>
      <c r="DF57" s="755">
        <v>36</v>
      </c>
      <c r="DG57" s="755">
        <f t="shared" si="97"/>
        <v>32</v>
      </c>
      <c r="DH57" s="673">
        <f t="shared" si="37"/>
        <v>5.0564106380878586</v>
      </c>
      <c r="DI57" s="673">
        <f t="shared" si="38"/>
        <v>2</v>
      </c>
      <c r="DJ57" s="766" t="b">
        <f t="shared" si="39"/>
        <v>0</v>
      </c>
      <c r="DK57" s="673"/>
      <c r="DL57" s="766">
        <f t="shared" si="40"/>
        <v>5.0564106380878586</v>
      </c>
      <c r="DM57" s="766">
        <f t="shared" si="41"/>
        <v>4.0260607025432132E-2</v>
      </c>
      <c r="DN57" s="766">
        <f t="shared" si="42"/>
        <v>2.6927884603674189E-3</v>
      </c>
      <c r="DO57" s="766">
        <f t="shared" si="43"/>
        <v>5.2240184933294334</v>
      </c>
      <c r="DP57" s="766">
        <f t="shared" si="44"/>
        <v>2.5938391987247726</v>
      </c>
      <c r="DQ57" s="766">
        <f t="shared" si="45"/>
        <v>4.4648812841254282</v>
      </c>
      <c r="DR57" s="766">
        <f t="shared" si="46"/>
        <v>8.7796951451541663</v>
      </c>
      <c r="DS57" s="766">
        <f t="shared" si="47"/>
        <v>2.4467460352239909</v>
      </c>
      <c r="DT57" s="766">
        <f t="shared" si="48"/>
        <v>3.4823217007097576</v>
      </c>
      <c r="DU57" s="766">
        <f t="shared" si="49"/>
        <v>50.325758781790164</v>
      </c>
      <c r="DV57" s="766">
        <f t="shared" si="50"/>
        <v>8.1581339741335039</v>
      </c>
      <c r="DW57" s="766">
        <f t="shared" si="51"/>
        <v>28.196296178120416</v>
      </c>
      <c r="DX57" s="766">
        <f t="shared" si="52"/>
        <v>12.816498262782007</v>
      </c>
      <c r="DY57" s="766">
        <f t="shared" si="53"/>
        <v>5.0564106380878586</v>
      </c>
      <c r="DZ57" s="766">
        <f t="shared" si="54"/>
        <v>3.7317654384878662</v>
      </c>
      <c r="EB57" s="755"/>
      <c r="EC57" s="755"/>
      <c r="ED57" s="755"/>
      <c r="EE57" s="755"/>
      <c r="EF57" s="755" t="b">
        <f t="shared" si="98"/>
        <v>0</v>
      </c>
      <c r="EG57" s="755">
        <f t="shared" si="55"/>
        <v>20.293276579694538</v>
      </c>
      <c r="EH57" s="755">
        <v>36</v>
      </c>
      <c r="EI57" s="755">
        <f t="shared" si="103"/>
        <v>25</v>
      </c>
      <c r="EJ57" s="673">
        <f t="shared" si="56"/>
        <v>4.7067234203054626</v>
      </c>
      <c r="EK57" s="673">
        <f t="shared" si="57"/>
        <v>2.2510196371999172</v>
      </c>
      <c r="EL57" s="755" t="b">
        <f t="shared" si="58"/>
        <v>0</v>
      </c>
      <c r="EM57" s="673"/>
      <c r="EN57" s="755">
        <f t="shared" si="59"/>
        <v>4.7067234203054626</v>
      </c>
      <c r="EO57" s="755">
        <f t="shared" si="60"/>
        <v>5.127977239369489E-2</v>
      </c>
      <c r="EP57" s="755">
        <f t="shared" si="61"/>
        <v>3.4297937749617723E-3</v>
      </c>
      <c r="EQ57" s="755">
        <f t="shared" si="62"/>
        <v>5.1308636318889365</v>
      </c>
      <c r="ER57" s="755">
        <f t="shared" si="63"/>
        <v>2.5710527864932269</v>
      </c>
      <c r="ES57" s="755">
        <f t="shared" si="64"/>
        <v>4.2028459660542232</v>
      </c>
      <c r="ET57" s="755">
        <f t="shared" si="65"/>
        <v>8.2644316782153524</v>
      </c>
      <c r="EU57" s="755">
        <f t="shared" si="66"/>
        <v>2.3694716598341961</v>
      </c>
      <c r="EV57" s="755">
        <f t="shared" si="67"/>
        <v>3.375312807230757</v>
      </c>
      <c r="EW57" s="755">
        <f t="shared" si="68"/>
        <v>64.099715492118619</v>
      </c>
      <c r="EX57" s="755">
        <f t="shared" si="69"/>
        <v>10.390982259322888</v>
      </c>
      <c r="EY57" s="755">
        <f t="shared" si="99"/>
        <v>22.137383748208261</v>
      </c>
      <c r="EZ57" s="755">
        <f t="shared" si="70"/>
        <v>10.062447158276482</v>
      </c>
      <c r="FA57" s="755">
        <f t="shared" si="71"/>
        <v>4.7067234203054626</v>
      </c>
      <c r="FB57" s="755">
        <f t="shared" si="72"/>
        <v>3.5852652066226365</v>
      </c>
      <c r="FC57" s="755"/>
      <c r="FD57" s="755"/>
      <c r="FE57" s="755"/>
      <c r="FF57" s="755"/>
      <c r="FG57" s="755"/>
      <c r="FH57" s="755"/>
      <c r="FI57" s="755"/>
      <c r="FJ57" s="755"/>
      <c r="FK57" s="755" t="b">
        <f t="shared" si="100"/>
        <v>0</v>
      </c>
      <c r="FL57" s="755">
        <f t="shared" si="73"/>
        <v>28.268234561512134</v>
      </c>
      <c r="FM57" s="755">
        <v>36</v>
      </c>
      <c r="FN57" s="767">
        <f t="shared" si="101"/>
        <v>32</v>
      </c>
      <c r="FO57" s="673">
        <f>FS57</f>
        <v>3.7317654384878662</v>
      </c>
      <c r="FP57" s="673">
        <f t="shared" si="75"/>
        <v>2.2510196371999172</v>
      </c>
      <c r="FQ57" s="766" t="b">
        <f t="shared" si="76"/>
        <v>0</v>
      </c>
      <c r="FR57" s="673"/>
      <c r="FS57" s="767">
        <f t="shared" si="77"/>
        <v>3.7317654384878662</v>
      </c>
      <c r="FT57" s="766">
        <f t="shared" si="78"/>
        <v>4.0260607025432132E-2</v>
      </c>
      <c r="FU57" s="766">
        <f t="shared" si="79"/>
        <v>2.6927884603674189E-3</v>
      </c>
      <c r="FV57" s="766">
        <f t="shared" si="80"/>
        <v>5.2240184933294334</v>
      </c>
      <c r="FW57" s="766">
        <f t="shared" si="81"/>
        <v>2.5938391987247726</v>
      </c>
      <c r="FX57" s="766">
        <f t="shared" si="82"/>
        <v>5.025267724166361</v>
      </c>
      <c r="FY57" s="766">
        <f t="shared" si="83"/>
        <v>9.881633090185403</v>
      </c>
      <c r="FZ57" s="766">
        <f t="shared" si="84"/>
        <v>2.4467460352239909</v>
      </c>
      <c r="GA57" s="766">
        <f t="shared" si="85"/>
        <v>3.4823217007097576</v>
      </c>
      <c r="GB57" s="766">
        <f t="shared" si="86"/>
        <v>50.325758781790164</v>
      </c>
      <c r="GC57" s="766">
        <f t="shared" si="87"/>
        <v>8.1581339741335039</v>
      </c>
      <c r="GD57" s="766">
        <f t="shared" si="88"/>
        <v>28.196296178120416</v>
      </c>
      <c r="GE57" s="766">
        <f t="shared" si="89"/>
        <v>12.816498262782007</v>
      </c>
      <c r="GF57" s="766">
        <f t="shared" si="90"/>
        <v>5.7957026254251156</v>
      </c>
      <c r="GG57" s="766">
        <f t="shared" si="91"/>
        <v>3.7317654384878662</v>
      </c>
    </row>
    <row r="58" spans="1:189" ht="19" customHeight="1" thickTop="1" thickBot="1">
      <c r="B58" s="284"/>
      <c r="C58" s="285"/>
      <c r="D58" s="285"/>
      <c r="E58" s="285"/>
      <c r="F58" s="285"/>
      <c r="G58" s="285"/>
      <c r="H58" s="1101" t="s">
        <v>560</v>
      </c>
      <c r="I58" s="1101"/>
      <c r="J58" s="285"/>
      <c r="K58" s="285"/>
      <c r="L58" s="284"/>
      <c r="M58" s="285"/>
      <c r="N58" s="285"/>
      <c r="O58" s="1109" t="s">
        <v>914</v>
      </c>
      <c r="P58" s="1110"/>
      <c r="Q58" s="1111"/>
      <c r="R58" s="787">
        <f>IF(ISNUMBER(BE78),BE78,"")</f>
        <v>7.5667634335456135</v>
      </c>
      <c r="S58" s="812">
        <f>IF(ISNUMBER(CZ264),CZ264,"")</f>
        <v>9.466310818886619</v>
      </c>
      <c r="T58" s="813">
        <f>IF(ISNUMBER(FG264),FG264,"")</f>
        <v>9.4324140671800354</v>
      </c>
      <c r="U58" s="788" t="s">
        <v>13</v>
      </c>
      <c r="V58" s="789"/>
      <c r="W58" s="790">
        <f>IF(ISNUMBER(AS78),AS78,"")</f>
        <v>7.6564181805682061E-3</v>
      </c>
      <c r="X58" s="824"/>
      <c r="Y58" s="824"/>
      <c r="Z58" s="825"/>
      <c r="AA58" s="161"/>
      <c r="AB58" s="161"/>
      <c r="AC58" s="161"/>
      <c r="AD58" s="161"/>
      <c r="AE58" s="161"/>
      <c r="AF58" s="161"/>
      <c r="AG58" s="161"/>
      <c r="AH58" s="161"/>
      <c r="AI58" s="161"/>
      <c r="AJ58" s="161"/>
      <c r="AK58" s="168"/>
      <c r="AL58" s="161"/>
      <c r="AM58" s="161"/>
      <c r="BA58" s="699" t="s">
        <v>611</v>
      </c>
      <c r="BB58" s="699"/>
      <c r="BC58" s="699"/>
      <c r="BY58" s="753" t="b">
        <f t="shared" si="94"/>
        <v>0</v>
      </c>
      <c r="BZ58" s="753">
        <f t="shared" si="19"/>
        <v>20.765906371393072</v>
      </c>
      <c r="CA58" s="751">
        <v>37</v>
      </c>
      <c r="CB58" s="752">
        <f t="shared" si="102"/>
        <v>25.5</v>
      </c>
      <c r="CC58" s="673">
        <f t="shared" si="20"/>
        <v>4.734093628606928</v>
      </c>
      <c r="CD58" s="91">
        <f t="shared" si="9"/>
        <v>2</v>
      </c>
      <c r="CE58" s="752" t="b">
        <f t="shared" si="21"/>
        <v>0</v>
      </c>
      <c r="CF58" s="673"/>
      <c r="CG58" s="752">
        <f t="shared" si="22"/>
        <v>4.734093628606928</v>
      </c>
      <c r="CH58" s="752">
        <f t="shared" si="23"/>
        <v>5.0294201863184618E-2</v>
      </c>
      <c r="CI58" s="752">
        <f t="shared" si="24"/>
        <v>3.3638749240671546E-3</v>
      </c>
      <c r="CJ58" s="755">
        <f t="shared" si="25"/>
        <v>5.1390199071307983</v>
      </c>
      <c r="CK58" s="755">
        <f t="shared" si="26"/>
        <v>2.5730664229912681</v>
      </c>
      <c r="CL58" s="755">
        <f t="shared" si="27"/>
        <v>4.2232862214790297</v>
      </c>
      <c r="CM58" s="755">
        <f t="shared" si="28"/>
        <v>8.3046251794304791</v>
      </c>
      <c r="CN58" s="755">
        <f t="shared" si="29"/>
        <v>2.3755886635838492</v>
      </c>
      <c r="CO58" s="755">
        <f t="shared" si="30"/>
        <v>3.3837813252722624</v>
      </c>
      <c r="CP58" s="755">
        <f t="shared" si="31"/>
        <v>62.867752328980771</v>
      </c>
      <c r="CQ58" s="755">
        <f t="shared" si="32"/>
        <v>10.191272989569908</v>
      </c>
      <c r="CR58" s="755">
        <f t="shared" si="95"/>
        <v>22.571190275334043</v>
      </c>
      <c r="CS58" s="755">
        <f t="shared" si="33"/>
        <v>10.259631943333655</v>
      </c>
      <c r="CT58" s="755">
        <f t="shared" si="34"/>
        <v>4.734093628606928</v>
      </c>
      <c r="CU58" s="755">
        <f t="shared" si="35"/>
        <v>3.5968752531305928</v>
      </c>
      <c r="CX58" s="755"/>
      <c r="CY58" s="755"/>
      <c r="CZ58" s="755"/>
      <c r="DA58" s="755"/>
      <c r="DB58" s="755"/>
      <c r="DC58" s="755"/>
      <c r="DD58" s="755" t="b">
        <f t="shared" si="96"/>
        <v>0</v>
      </c>
      <c r="DE58" s="755">
        <f t="shared" si="36"/>
        <v>26.466455961562211</v>
      </c>
      <c r="DF58" s="755">
        <v>37</v>
      </c>
      <c r="DG58" s="755">
        <f t="shared" si="97"/>
        <v>31.5</v>
      </c>
      <c r="DH58" s="673">
        <f t="shared" si="37"/>
        <v>5.0335440384377907</v>
      </c>
      <c r="DI58" s="673">
        <f t="shared" si="38"/>
        <v>2</v>
      </c>
      <c r="DJ58" s="766" t="b">
        <f t="shared" si="39"/>
        <v>0</v>
      </c>
      <c r="DK58" s="673"/>
      <c r="DL58" s="766">
        <f t="shared" si="40"/>
        <v>5.0335440384377907</v>
      </c>
      <c r="DM58" s="766">
        <f t="shared" si="41"/>
        <v>4.0886784258043242E-2</v>
      </c>
      <c r="DN58" s="766">
        <f t="shared" si="42"/>
        <v>2.7346696675994626E-3</v>
      </c>
      <c r="DO58" s="766">
        <f t="shared" si="43"/>
        <v>5.2186067581640501</v>
      </c>
      <c r="DP58" s="766">
        <f t="shared" si="44"/>
        <v>2.5925280636235133</v>
      </c>
      <c r="DQ58" s="766">
        <f t="shared" si="45"/>
        <v>4.44768741207261</v>
      </c>
      <c r="DR58" s="766">
        <f t="shared" si="46"/>
        <v>8.7458852977288295</v>
      </c>
      <c r="DS58" s="766">
        <f t="shared" si="47"/>
        <v>2.4417495476905384</v>
      </c>
      <c r="DT58" s="766">
        <f t="shared" si="48"/>
        <v>3.4754007643778153</v>
      </c>
      <c r="DU58" s="766">
        <f t="shared" si="49"/>
        <v>51.108480322554051</v>
      </c>
      <c r="DV58" s="766">
        <f t="shared" si="50"/>
        <v>8.2850182447051477</v>
      </c>
      <c r="DW58" s="766">
        <f t="shared" si="51"/>
        <v>27.764472569805577</v>
      </c>
      <c r="DX58" s="766">
        <f t="shared" si="52"/>
        <v>12.620214804457079</v>
      </c>
      <c r="DY58" s="766">
        <f t="shared" si="53"/>
        <v>5.0335440384377907</v>
      </c>
      <c r="DZ58" s="766">
        <f t="shared" si="54"/>
        <v>3.7223038169725275</v>
      </c>
      <c r="EB58" s="755"/>
      <c r="EC58" s="755"/>
      <c r="ED58" s="755"/>
      <c r="EE58" s="755"/>
      <c r="EF58" s="755" t="b">
        <f t="shared" si="98"/>
        <v>0</v>
      </c>
      <c r="EG58" s="755">
        <f t="shared" si="55"/>
        <v>20.765906371393072</v>
      </c>
      <c r="EH58" s="755">
        <v>37</v>
      </c>
      <c r="EI58" s="755">
        <f t="shared" si="103"/>
        <v>25.5</v>
      </c>
      <c r="EJ58" s="673">
        <f t="shared" si="56"/>
        <v>4.734093628606928</v>
      </c>
      <c r="EK58" s="673">
        <f t="shared" si="57"/>
        <v>2.2510196371999172</v>
      </c>
      <c r="EL58" s="755" t="b">
        <f t="shared" si="58"/>
        <v>0</v>
      </c>
      <c r="EM58" s="673"/>
      <c r="EN58" s="755">
        <f t="shared" si="59"/>
        <v>4.734093628606928</v>
      </c>
      <c r="EO58" s="755">
        <f t="shared" si="60"/>
        <v>5.0294201863184618E-2</v>
      </c>
      <c r="EP58" s="755">
        <f t="shared" si="61"/>
        <v>3.3638749240671546E-3</v>
      </c>
      <c r="EQ58" s="755">
        <f t="shared" si="62"/>
        <v>5.1390199071307983</v>
      </c>
      <c r="ER58" s="755">
        <f t="shared" si="63"/>
        <v>2.5730664229912681</v>
      </c>
      <c r="ES58" s="755">
        <f t="shared" si="64"/>
        <v>4.2232862214790297</v>
      </c>
      <c r="ET58" s="755">
        <f t="shared" si="65"/>
        <v>8.3046251794304791</v>
      </c>
      <c r="EU58" s="755">
        <f t="shared" si="66"/>
        <v>2.3755886635838492</v>
      </c>
      <c r="EV58" s="755">
        <f t="shared" si="67"/>
        <v>3.3837813252722624</v>
      </c>
      <c r="EW58" s="755">
        <f t="shared" si="68"/>
        <v>62.867752328980771</v>
      </c>
      <c r="EX58" s="755">
        <f t="shared" si="69"/>
        <v>10.191272989569908</v>
      </c>
      <c r="EY58" s="755">
        <f t="shared" si="99"/>
        <v>22.571190275334043</v>
      </c>
      <c r="EZ58" s="755">
        <f t="shared" si="70"/>
        <v>10.259631943333655</v>
      </c>
      <c r="FA58" s="755">
        <f t="shared" si="71"/>
        <v>4.734093628606928</v>
      </c>
      <c r="FB58" s="755">
        <f t="shared" si="72"/>
        <v>3.5968752531305928</v>
      </c>
      <c r="FC58" s="755"/>
      <c r="FD58" s="755"/>
      <c r="FE58" s="755"/>
      <c r="FF58" s="755"/>
      <c r="FG58" s="755"/>
      <c r="FH58" s="755"/>
      <c r="FI58" s="755"/>
      <c r="FJ58" s="755"/>
      <c r="FK58" s="755" t="b">
        <f t="shared" si="100"/>
        <v>0</v>
      </c>
      <c r="FL58" s="755">
        <f t="shared" si="73"/>
        <v>27.777696183027473</v>
      </c>
      <c r="FM58" s="755">
        <v>37</v>
      </c>
      <c r="FN58" s="767">
        <f t="shared" si="101"/>
        <v>31.5</v>
      </c>
      <c r="FO58" s="673">
        <f t="shared" si="74"/>
        <v>3.7223038169725275</v>
      </c>
      <c r="FP58" s="673">
        <f t="shared" si="75"/>
        <v>2.2510196371999172</v>
      </c>
      <c r="FQ58" s="766" t="b">
        <f t="shared" si="76"/>
        <v>0</v>
      </c>
      <c r="FR58" s="673"/>
      <c r="FS58" s="767">
        <f t="shared" si="77"/>
        <v>3.7223038169725275</v>
      </c>
      <c r="FT58" s="766">
        <f t="shared" si="78"/>
        <v>4.0886784258043242E-2</v>
      </c>
      <c r="FU58" s="766">
        <f t="shared" si="79"/>
        <v>2.7346696675994626E-3</v>
      </c>
      <c r="FV58" s="766">
        <f t="shared" si="80"/>
        <v>5.2186067581640501</v>
      </c>
      <c r="FW58" s="766">
        <f t="shared" si="81"/>
        <v>2.5925280636235133</v>
      </c>
      <c r="FX58" s="766">
        <f t="shared" si="82"/>
        <v>5.0059158523511629</v>
      </c>
      <c r="FY58" s="766">
        <f t="shared" si="83"/>
        <v>9.8435797749428193</v>
      </c>
      <c r="FZ58" s="766">
        <f t="shared" si="84"/>
        <v>2.4417495476905384</v>
      </c>
      <c r="GA58" s="766">
        <f t="shared" si="85"/>
        <v>3.4754007643778153</v>
      </c>
      <c r="GB58" s="766">
        <f t="shared" si="86"/>
        <v>51.108480322554051</v>
      </c>
      <c r="GC58" s="766">
        <f t="shared" si="87"/>
        <v>8.2850182447051477</v>
      </c>
      <c r="GD58" s="766">
        <f t="shared" si="88"/>
        <v>27.764472569805577</v>
      </c>
      <c r="GE58" s="766">
        <f t="shared" si="89"/>
        <v>12.620214804457079</v>
      </c>
      <c r="GF58" s="766">
        <f t="shared" si="90"/>
        <v>5.7703645733418911</v>
      </c>
      <c r="GG58" s="766">
        <f t="shared" si="91"/>
        <v>3.7223038169725275</v>
      </c>
    </row>
    <row r="59" spans="1:189" ht="15" customHeight="1" thickBot="1">
      <c r="B59" s="286" t="s">
        <v>465</v>
      </c>
      <c r="C59" s="287"/>
      <c r="D59" s="288" t="s">
        <v>110</v>
      </c>
      <c r="E59" s="1092" t="s">
        <v>904</v>
      </c>
      <c r="F59" s="1093"/>
      <c r="G59" s="288" t="s">
        <v>110</v>
      </c>
      <c r="H59" s="289" t="s">
        <v>67</v>
      </c>
      <c r="I59" s="289" t="s">
        <v>110</v>
      </c>
      <c r="J59" s="288" t="s">
        <v>110</v>
      </c>
      <c r="K59" s="290" t="s">
        <v>110</v>
      </c>
      <c r="L59" s="403" t="s">
        <v>67</v>
      </c>
      <c r="M59" s="646" t="s">
        <v>67</v>
      </c>
      <c r="N59" s="416"/>
      <c r="O59" s="1056" t="s">
        <v>915</v>
      </c>
      <c r="P59" s="1057"/>
      <c r="Q59" s="1058"/>
      <c r="R59" s="782">
        <f>IF(ISNUMBER(BE79),BE79,"")</f>
        <v>4.1427811593844721</v>
      </c>
      <c r="S59" s="852">
        <f>IF(ISNUMBER(CZ265),CZ265,"")</f>
        <v>4.6487781373385433</v>
      </c>
      <c r="T59" s="853">
        <f>IF(ISNUMBER(FG265),FG265,"")</f>
        <v>4.6407524784244369</v>
      </c>
      <c r="U59" s="756" t="s">
        <v>1056</v>
      </c>
      <c r="V59" s="757"/>
      <c r="W59" s="804">
        <f>IF(ISNUMBER(AS79),AS79,"")</f>
        <v>6.9214020352336583</v>
      </c>
      <c r="X59" s="816"/>
      <c r="Y59" s="816"/>
      <c r="Z59" s="817"/>
      <c r="AA59" s="161"/>
      <c r="AB59" s="161"/>
      <c r="AC59" s="161"/>
      <c r="AD59" s="161"/>
      <c r="AE59" s="161"/>
      <c r="AF59" s="161"/>
      <c r="AG59" s="161"/>
      <c r="AH59" s="161"/>
      <c r="AI59" s="161"/>
      <c r="AJ59" s="161"/>
      <c r="AK59" s="168"/>
      <c r="AL59" s="161"/>
      <c r="AM59" s="161"/>
      <c r="AX59" s="737" t="s">
        <v>1584</v>
      </c>
      <c r="AY59" s="737"/>
      <c r="BA59" s="86">
        <f>AF7/AQ102/SQRT(((AU10+(AE7/AQ102))/2))</f>
        <v>5.5893584751894689</v>
      </c>
      <c r="BB59" s="86">
        <f>AF8/AR102/SQRT(((AU11+(AE8/AR102))/2))</f>
        <v>60.268210687079879</v>
      </c>
      <c r="BC59" s="86">
        <f>AF9/AS102/SQRT(((AU12+(AE9/AS102))/2))</f>
        <v>68.839296630749061</v>
      </c>
      <c r="BY59" s="753" t="b">
        <f t="shared" si="94"/>
        <v>0</v>
      </c>
      <c r="BZ59" s="753">
        <f t="shared" si="19"/>
        <v>21.238953773665003</v>
      </c>
      <c r="CA59" s="751">
        <v>38</v>
      </c>
      <c r="CB59" s="752">
        <f t="shared" si="102"/>
        <v>26</v>
      </c>
      <c r="CC59" s="673">
        <f t="shared" si="20"/>
        <v>4.7610462263349982</v>
      </c>
      <c r="CD59" s="91">
        <f t="shared" si="9"/>
        <v>2</v>
      </c>
      <c r="CE59" s="752" t="b">
        <f t="shared" si="21"/>
        <v>0</v>
      </c>
      <c r="CF59" s="673"/>
      <c r="CG59" s="752">
        <f t="shared" si="22"/>
        <v>4.7610462263349982</v>
      </c>
      <c r="CH59" s="752">
        <f t="shared" si="23"/>
        <v>4.9346166114482885E-2</v>
      </c>
      <c r="CI59" s="752">
        <f t="shared" si="24"/>
        <v>3.3004665476731474E-3</v>
      </c>
      <c r="CJ59" s="755">
        <f t="shared" si="25"/>
        <v>5.1468974438871813</v>
      </c>
      <c r="CK59" s="755">
        <f t="shared" si="26"/>
        <v>2.5750078426632985</v>
      </c>
      <c r="CL59" s="755">
        <f t="shared" si="27"/>
        <v>4.2434260834351996</v>
      </c>
      <c r="CM59" s="755">
        <f t="shared" si="28"/>
        <v>8.3442279901187124</v>
      </c>
      <c r="CN59" s="755">
        <f t="shared" si="29"/>
        <v>2.38160061776132</v>
      </c>
      <c r="CO59" s="755">
        <f t="shared" si="30"/>
        <v>3.39210479410447</v>
      </c>
      <c r="CP59" s="755">
        <f t="shared" si="31"/>
        <v>61.682707643103605</v>
      </c>
      <c r="CQ59" s="755">
        <f t="shared" si="32"/>
        <v>9.9991695112172074</v>
      </c>
      <c r="CR59" s="755">
        <f t="shared" si="95"/>
        <v>23.004826704598308</v>
      </c>
      <c r="CS59" s="755">
        <f t="shared" si="33"/>
        <v>10.456739411181049</v>
      </c>
      <c r="CT59" s="755">
        <f t="shared" si="34"/>
        <v>4.7610462263349982</v>
      </c>
      <c r="CU59" s="755">
        <f t="shared" si="35"/>
        <v>3.6082837178079088</v>
      </c>
      <c r="CX59" s="755"/>
      <c r="CY59" s="755"/>
      <c r="CZ59" s="755"/>
      <c r="DA59" s="755"/>
      <c r="DB59" s="755"/>
      <c r="DC59" s="755"/>
      <c r="DD59" s="755" t="b">
        <f t="shared" si="96"/>
        <v>0</v>
      </c>
      <c r="DE59" s="755">
        <f t="shared" si="36"/>
        <v>25.989609479419414</v>
      </c>
      <c r="DF59" s="755">
        <v>38</v>
      </c>
      <c r="DG59" s="755">
        <f t="shared" si="97"/>
        <v>31</v>
      </c>
      <c r="DH59" s="673">
        <f t="shared" si="37"/>
        <v>5.010390520580585</v>
      </c>
      <c r="DI59" s="673">
        <f t="shared" si="38"/>
        <v>2</v>
      </c>
      <c r="DJ59" s="766" t="b">
        <f t="shared" si="39"/>
        <v>0</v>
      </c>
      <c r="DK59" s="673"/>
      <c r="DL59" s="766">
        <f t="shared" si="40"/>
        <v>5.010390520580585</v>
      </c>
      <c r="DM59" s="766">
        <f t="shared" si="41"/>
        <v>4.1532955564141771E-2</v>
      </c>
      <c r="DN59" s="766">
        <f t="shared" si="42"/>
        <v>2.7778881574593776E-3</v>
      </c>
      <c r="DO59" s="766">
        <f t="shared" si="43"/>
        <v>5.2130374799515264</v>
      </c>
      <c r="DP59" s="766">
        <f t="shared" si="44"/>
        <v>2.5911771458284814</v>
      </c>
      <c r="DQ59" s="766">
        <f t="shared" si="45"/>
        <v>4.4302862347765917</v>
      </c>
      <c r="DR59" s="766">
        <f t="shared" si="46"/>
        <v>8.7116678074746066</v>
      </c>
      <c r="DS59" s="766">
        <f t="shared" si="47"/>
        <v>2.4366825192259416</v>
      </c>
      <c r="DT59" s="766">
        <f t="shared" si="48"/>
        <v>3.4683823736849289</v>
      </c>
      <c r="DU59" s="766">
        <f t="shared" si="49"/>
        <v>51.916194455177212</v>
      </c>
      <c r="DV59" s="766">
        <f t="shared" si="50"/>
        <v>8.4159539775435199</v>
      </c>
      <c r="DW59" s="766">
        <f t="shared" si="51"/>
        <v>27.33251184705226</v>
      </c>
      <c r="DX59" s="766">
        <f t="shared" si="52"/>
        <v>12.423869021387389</v>
      </c>
      <c r="DY59" s="766">
        <f t="shared" si="53"/>
        <v>5.010390520580585</v>
      </c>
      <c r="DZ59" s="766">
        <f t="shared" si="54"/>
        <v>3.7127070659594761</v>
      </c>
      <c r="EB59" s="755"/>
      <c r="EC59" s="755"/>
      <c r="ED59" s="755"/>
      <c r="EE59" s="755"/>
      <c r="EF59" s="755" t="b">
        <f t="shared" si="98"/>
        <v>0</v>
      </c>
      <c r="EG59" s="755">
        <f t="shared" si="55"/>
        <v>21.238953773665003</v>
      </c>
      <c r="EH59" s="755">
        <v>38</v>
      </c>
      <c r="EI59" s="755">
        <f t="shared" si="103"/>
        <v>26</v>
      </c>
      <c r="EJ59" s="673">
        <f t="shared" si="56"/>
        <v>4.7610462263349982</v>
      </c>
      <c r="EK59" s="673">
        <f t="shared" si="57"/>
        <v>2.2510196371999172</v>
      </c>
      <c r="EL59" s="755" t="b">
        <f t="shared" si="58"/>
        <v>0</v>
      </c>
      <c r="EM59" s="673"/>
      <c r="EN59" s="755">
        <f t="shared" si="59"/>
        <v>4.7610462263349982</v>
      </c>
      <c r="EO59" s="755">
        <f t="shared" si="60"/>
        <v>4.9346166114482885E-2</v>
      </c>
      <c r="EP59" s="755">
        <f t="shared" si="61"/>
        <v>3.3004665476731474E-3</v>
      </c>
      <c r="EQ59" s="755">
        <f t="shared" si="62"/>
        <v>5.1468974438871813</v>
      </c>
      <c r="ER59" s="755">
        <f t="shared" si="63"/>
        <v>2.5750078426632985</v>
      </c>
      <c r="ES59" s="755">
        <f t="shared" si="64"/>
        <v>4.2434260834351996</v>
      </c>
      <c r="ET59" s="755">
        <f t="shared" si="65"/>
        <v>8.3442279901187124</v>
      </c>
      <c r="EU59" s="755">
        <f t="shared" si="66"/>
        <v>2.38160061776132</v>
      </c>
      <c r="EV59" s="755">
        <f t="shared" si="67"/>
        <v>3.39210479410447</v>
      </c>
      <c r="EW59" s="755">
        <f t="shared" si="68"/>
        <v>61.682707643103605</v>
      </c>
      <c r="EX59" s="755">
        <f t="shared" si="69"/>
        <v>9.9991695112172074</v>
      </c>
      <c r="EY59" s="755">
        <f t="shared" si="99"/>
        <v>23.004826704598308</v>
      </c>
      <c r="EZ59" s="755">
        <f t="shared" si="70"/>
        <v>10.456739411181049</v>
      </c>
      <c r="FA59" s="755">
        <f t="shared" si="71"/>
        <v>4.7610462263349982</v>
      </c>
      <c r="FB59" s="755">
        <f t="shared" si="72"/>
        <v>3.6082837178079088</v>
      </c>
      <c r="FC59" s="755"/>
      <c r="FD59" s="755"/>
      <c r="FE59" s="755"/>
      <c r="FF59" s="755"/>
      <c r="FG59" s="755"/>
      <c r="FH59" s="755"/>
      <c r="FI59" s="755"/>
      <c r="FJ59" s="755"/>
      <c r="FK59" s="755" t="b">
        <f t="shared" si="100"/>
        <v>0</v>
      </c>
      <c r="FL59" s="755">
        <f t="shared" si="73"/>
        <v>27.287292934040522</v>
      </c>
      <c r="FM59" s="755">
        <v>38</v>
      </c>
      <c r="FN59" s="767">
        <f t="shared" si="101"/>
        <v>31</v>
      </c>
      <c r="FO59" s="673">
        <f t="shared" si="74"/>
        <v>3.7127070659594761</v>
      </c>
      <c r="FP59" s="673">
        <f t="shared" si="75"/>
        <v>2.2510196371999172</v>
      </c>
      <c r="FQ59" s="766" t="b">
        <f t="shared" si="76"/>
        <v>0</v>
      </c>
      <c r="FR59" s="673"/>
      <c r="FS59" s="767">
        <f t="shared" si="77"/>
        <v>3.7127070659594761</v>
      </c>
      <c r="FT59" s="766">
        <f t="shared" si="78"/>
        <v>4.1532955564141771E-2</v>
      </c>
      <c r="FU59" s="766">
        <f t="shared" si="79"/>
        <v>2.7778881574593776E-3</v>
      </c>
      <c r="FV59" s="766">
        <f t="shared" si="80"/>
        <v>5.2130374799515264</v>
      </c>
      <c r="FW59" s="766">
        <f t="shared" si="81"/>
        <v>2.5911771458284814</v>
      </c>
      <c r="FX59" s="766">
        <f t="shared" si="82"/>
        <v>4.9863306564492955</v>
      </c>
      <c r="FY59" s="766">
        <f t="shared" si="83"/>
        <v>9.8050676536938433</v>
      </c>
      <c r="FZ59" s="766">
        <f t="shared" si="84"/>
        <v>2.4366825192259416</v>
      </c>
      <c r="GA59" s="766">
        <f t="shared" si="85"/>
        <v>3.4683823736849289</v>
      </c>
      <c r="GB59" s="766">
        <f t="shared" si="86"/>
        <v>51.916194455177212</v>
      </c>
      <c r="GC59" s="766">
        <f t="shared" si="87"/>
        <v>8.4159539775435199</v>
      </c>
      <c r="GD59" s="766">
        <f t="shared" si="88"/>
        <v>27.33251184705226</v>
      </c>
      <c r="GE59" s="766">
        <f t="shared" si="89"/>
        <v>12.423869021387389</v>
      </c>
      <c r="GF59" s="766">
        <f t="shared" si="90"/>
        <v>5.7447071406506058</v>
      </c>
      <c r="GG59" s="766">
        <f t="shared" si="91"/>
        <v>3.7127070659594761</v>
      </c>
    </row>
    <row r="60" spans="1:189" s="59" customFormat="1" ht="16" thickTop="1">
      <c r="A60" s="162"/>
      <c r="B60" s="325" t="s">
        <v>513</v>
      </c>
      <c r="C60" s="326" t="s">
        <v>870</v>
      </c>
      <c r="D60" s="326" t="s">
        <v>8</v>
      </c>
      <c r="E60" s="326" t="s">
        <v>4</v>
      </c>
      <c r="F60" s="326" t="s">
        <v>9</v>
      </c>
      <c r="G60" s="326" t="s">
        <v>10</v>
      </c>
      <c r="H60" s="326" t="s">
        <v>92</v>
      </c>
      <c r="I60" s="326" t="s">
        <v>558</v>
      </c>
      <c r="J60" s="326" t="s">
        <v>100</v>
      </c>
      <c r="K60" s="327" t="s">
        <v>568</v>
      </c>
      <c r="L60" s="328" t="s">
        <v>95</v>
      </c>
      <c r="M60" s="329" t="s">
        <v>658</v>
      </c>
      <c r="N60" s="401" t="s">
        <v>910</v>
      </c>
      <c r="O60" s="1056" t="s">
        <v>1051</v>
      </c>
      <c r="P60" s="1057"/>
      <c r="Q60" s="1058"/>
      <c r="R60" s="1098" t="s">
        <v>1729</v>
      </c>
      <c r="S60" s="1099"/>
      <c r="T60" s="1100"/>
      <c r="U60" s="756" t="s">
        <v>536</v>
      </c>
      <c r="V60" s="757"/>
      <c r="W60" s="805">
        <f>IF(ISNUMBER(AS102),AS102,"")</f>
        <v>0.25156562681783134</v>
      </c>
      <c r="X60" s="826">
        <f>IF(ISNUMBER(CZ268),CZ268,"")</f>
        <v>3.757442583228511E-2</v>
      </c>
      <c r="Y60" s="826" t="str">
        <f t="shared" ref="Y60" si="123">DA268</f>
        <v>LF i+r</v>
      </c>
      <c r="Z60" s="827">
        <f>IF(ISNUMBER(FG268),FG268,"")</f>
        <v>4.0432435718737302E-2</v>
      </c>
      <c r="AA60" s="161"/>
      <c r="AB60" s="161"/>
      <c r="AC60" s="161"/>
      <c r="AD60" s="161"/>
      <c r="AE60" s="161"/>
      <c r="AF60" s="161"/>
      <c r="AG60" s="161"/>
      <c r="AH60" s="161"/>
      <c r="AI60" s="161"/>
      <c r="AJ60" s="161"/>
      <c r="AK60" s="168"/>
      <c r="AL60" s="161"/>
      <c r="AM60" s="161"/>
      <c r="AN60" s="64" t="s">
        <v>466</v>
      </c>
      <c r="AO60" s="64" t="s">
        <v>469</v>
      </c>
      <c r="AP60" s="64" t="s">
        <v>573</v>
      </c>
      <c r="AQ60" s="64" t="s">
        <v>467</v>
      </c>
      <c r="AR60" s="64" t="s">
        <v>468</v>
      </c>
      <c r="AS60" s="50" t="s">
        <v>10</v>
      </c>
      <c r="AT60" s="64" t="s">
        <v>517</v>
      </c>
      <c r="AU60" s="64" t="s">
        <v>562</v>
      </c>
      <c r="AV60" s="64" t="s">
        <v>563</v>
      </c>
      <c r="AW60" s="64" t="s">
        <v>564</v>
      </c>
      <c r="AX60" s="64" t="s">
        <v>1586</v>
      </c>
      <c r="AY60" s="64" t="s">
        <v>1585</v>
      </c>
      <c r="BA60" s="699">
        <f>IF(R30&lt;=40,AF7/(AQ102^0.25)/SQRT(((AV10+(AE7/(AQ102^0.25))))),IF(R30&gt;40,AF7/(AQ102^0.25)/SQRT(((AW10+(AE7/(AQ102^0.25))))),""))</f>
        <v>2.0043782108714843</v>
      </c>
      <c r="BB60" s="699">
        <f>IF(R50&lt;=40,AF8/(AR102^0.25)/SQRT(((AV11+(AE8/(AR102^0.25))))),IF(R50&gt;40,AF8/(AR102^0.25)/SQRT(((AW11+(AE8/(AR102^0.25))))),""))</f>
        <v>20.959510330006871</v>
      </c>
      <c r="BC60" s="699">
        <f>IF(R70&lt;=40,AF9/(AS102^0.25)/SQRT(((AV12+(AE9/(AS102^0.25))))),IF(R70&gt;40,AF9/(AS102^0.25)/SQRT(((AW12+(AE9/(AS102^0.25))))),""))</f>
        <v>25.535754712601655</v>
      </c>
      <c r="BY60" s="753" t="b">
        <f t="shared" si="94"/>
        <v>0</v>
      </c>
      <c r="BZ60" s="753">
        <f t="shared" si="19"/>
        <v>21.712404630953756</v>
      </c>
      <c r="CA60" s="751">
        <v>39</v>
      </c>
      <c r="CB60" s="752">
        <f t="shared" si="102"/>
        <v>26.5</v>
      </c>
      <c r="CC60" s="673">
        <f t="shared" si="20"/>
        <v>4.7875953690462456</v>
      </c>
      <c r="CD60" s="91">
        <f t="shared" si="9"/>
        <v>2</v>
      </c>
      <c r="CE60" s="752" t="b">
        <f t="shared" si="21"/>
        <v>0</v>
      </c>
      <c r="CF60" s="673"/>
      <c r="CG60" s="752">
        <f t="shared" si="22"/>
        <v>4.7875953690462456</v>
      </c>
      <c r="CH60" s="752">
        <f t="shared" si="23"/>
        <v>4.8433554297962408E-2</v>
      </c>
      <c r="CI60" s="752">
        <f t="shared" si="24"/>
        <v>3.2394274638170863E-3</v>
      </c>
      <c r="CJ60" s="755">
        <f t="shared" si="25"/>
        <v>5.1545103604217113</v>
      </c>
      <c r="CK60" s="755">
        <f t="shared" si="26"/>
        <v>2.5768808773470075</v>
      </c>
      <c r="CL60" s="755">
        <f t="shared" si="27"/>
        <v>4.2632756181996641</v>
      </c>
      <c r="CM60" s="755">
        <f t="shared" si="28"/>
        <v>8.3832599045001217</v>
      </c>
      <c r="CN60" s="755">
        <f t="shared" si="29"/>
        <v>2.3875112975563879</v>
      </c>
      <c r="CO60" s="755">
        <f t="shared" si="30"/>
        <v>3.4002884192770364</v>
      </c>
      <c r="CP60" s="755">
        <f t="shared" si="31"/>
        <v>60.541942872453014</v>
      </c>
      <c r="CQ60" s="755">
        <f t="shared" si="32"/>
        <v>9.8142440961371928</v>
      </c>
      <c r="CR60" s="755">
        <f t="shared" si="95"/>
        <v>23.438296372309757</v>
      </c>
      <c r="CS60" s="755">
        <f t="shared" si="33"/>
        <v>10.653771078322617</v>
      </c>
      <c r="CT60" s="755">
        <f t="shared" si="34"/>
        <v>4.7875953690462456</v>
      </c>
      <c r="CU60" s="755">
        <f t="shared" si="35"/>
        <v>3.6194978752083875</v>
      </c>
      <c r="CX60" s="755"/>
      <c r="CY60" s="755"/>
      <c r="CZ60" s="755"/>
      <c r="DA60" s="755"/>
      <c r="DB60" s="755"/>
      <c r="DC60" s="755"/>
      <c r="DD60" s="755" t="b">
        <f t="shared" si="96"/>
        <v>0</v>
      </c>
      <c r="DE60" s="755">
        <f t="shared" si="36"/>
        <v>25.513058189301333</v>
      </c>
      <c r="DF60" s="755">
        <v>39</v>
      </c>
      <c r="DG60" s="755">
        <f t="shared" si="97"/>
        <v>30.5</v>
      </c>
      <c r="DH60" s="673">
        <f t="shared" si="37"/>
        <v>4.986941810698668</v>
      </c>
      <c r="DI60" s="673">
        <f t="shared" si="38"/>
        <v>2</v>
      </c>
      <c r="DJ60" s="766" t="b">
        <f t="shared" si="39"/>
        <v>0</v>
      </c>
      <c r="DK60" s="673"/>
      <c r="DL60" s="766">
        <f t="shared" si="40"/>
        <v>4.986941810698668</v>
      </c>
      <c r="DM60" s="766">
        <f t="shared" si="41"/>
        <v>4.2200097544984279E-2</v>
      </c>
      <c r="DN60" s="766">
        <f t="shared" si="42"/>
        <v>2.8225092488975805E-3</v>
      </c>
      <c r="DO60" s="766">
        <f t="shared" si="43"/>
        <v>5.207303642960583</v>
      </c>
      <c r="DP60" s="766">
        <f t="shared" si="44"/>
        <v>2.5897845990616828</v>
      </c>
      <c r="DQ60" s="766">
        <f t="shared" si="45"/>
        <v>4.4126718477753792</v>
      </c>
      <c r="DR60" s="766">
        <f t="shared" si="46"/>
        <v>8.6770310639201345</v>
      </c>
      <c r="DS60" s="766">
        <f t="shared" si="47"/>
        <v>2.4315427904668683</v>
      </c>
      <c r="DT60" s="766">
        <f t="shared" si="48"/>
        <v>3.4612635495652544</v>
      </c>
      <c r="DU60" s="766">
        <f t="shared" si="49"/>
        <v>52.750121931230346</v>
      </c>
      <c r="DV60" s="766">
        <f t="shared" si="50"/>
        <v>8.5511390644460583</v>
      </c>
      <c r="DW60" s="766">
        <f t="shared" si="51"/>
        <v>26.900411753548777</v>
      </c>
      <c r="DX60" s="766">
        <f t="shared" si="52"/>
        <v>12.227459887976716</v>
      </c>
      <c r="DY60" s="766">
        <f t="shared" si="53"/>
        <v>4.986941810698668</v>
      </c>
      <c r="DZ60" s="766">
        <f t="shared" si="54"/>
        <v>3.7029710304632193</v>
      </c>
      <c r="EB60" s="755"/>
      <c r="EC60" s="755"/>
      <c r="ED60" s="755"/>
      <c r="EE60" s="755"/>
      <c r="EF60" s="755" t="b">
        <f t="shared" si="98"/>
        <v>0</v>
      </c>
      <c r="EG60" s="755">
        <f t="shared" si="55"/>
        <v>21.712404630953756</v>
      </c>
      <c r="EH60" s="755">
        <v>39</v>
      </c>
      <c r="EI60" s="755">
        <f t="shared" si="103"/>
        <v>26.5</v>
      </c>
      <c r="EJ60" s="673">
        <f t="shared" si="56"/>
        <v>4.7875953690462456</v>
      </c>
      <c r="EK60" s="673">
        <f t="shared" si="57"/>
        <v>2.2510196371999172</v>
      </c>
      <c r="EL60" s="755" t="b">
        <f t="shared" si="58"/>
        <v>0</v>
      </c>
      <c r="EM60" s="673"/>
      <c r="EN60" s="755">
        <f t="shared" si="59"/>
        <v>4.7875953690462456</v>
      </c>
      <c r="EO60" s="755">
        <f t="shared" si="60"/>
        <v>4.8433554297962408E-2</v>
      </c>
      <c r="EP60" s="755">
        <f t="shared" si="61"/>
        <v>3.2394274638170863E-3</v>
      </c>
      <c r="EQ60" s="755">
        <f t="shared" si="62"/>
        <v>5.1545103604217113</v>
      </c>
      <c r="ER60" s="755">
        <f t="shared" si="63"/>
        <v>2.5768808773470075</v>
      </c>
      <c r="ES60" s="755">
        <f t="shared" si="64"/>
        <v>4.2632756181996641</v>
      </c>
      <c r="ET60" s="755">
        <f t="shared" si="65"/>
        <v>8.3832599045001217</v>
      </c>
      <c r="EU60" s="755">
        <f t="shared" si="66"/>
        <v>2.3875112975563879</v>
      </c>
      <c r="EV60" s="755">
        <f t="shared" si="67"/>
        <v>3.4002884192770364</v>
      </c>
      <c r="EW60" s="755">
        <f t="shared" si="68"/>
        <v>60.541942872453014</v>
      </c>
      <c r="EX60" s="755">
        <f t="shared" si="69"/>
        <v>9.8142440961371928</v>
      </c>
      <c r="EY60" s="755">
        <f t="shared" si="99"/>
        <v>23.438296372309757</v>
      </c>
      <c r="EZ60" s="755">
        <f t="shared" si="70"/>
        <v>10.653771078322617</v>
      </c>
      <c r="FA60" s="755">
        <f t="shared" si="71"/>
        <v>4.7875953690462456</v>
      </c>
      <c r="FB60" s="755">
        <f t="shared" si="72"/>
        <v>3.6194978752083875</v>
      </c>
      <c r="FC60" s="755"/>
      <c r="FD60" s="755"/>
      <c r="FE60" s="755"/>
      <c r="FF60" s="755"/>
      <c r="FG60" s="755"/>
      <c r="FH60" s="755"/>
      <c r="FI60" s="755"/>
      <c r="FJ60" s="755"/>
      <c r="FK60" s="755" t="b">
        <f t="shared" si="100"/>
        <v>0</v>
      </c>
      <c r="FL60" s="755">
        <f t="shared" si="73"/>
        <v>26.797028969536782</v>
      </c>
      <c r="FM60" s="755">
        <v>39</v>
      </c>
      <c r="FN60" s="767">
        <f t="shared" si="101"/>
        <v>30.5</v>
      </c>
      <c r="FO60" s="673">
        <f t="shared" si="74"/>
        <v>3.7029710304632193</v>
      </c>
      <c r="FP60" s="673">
        <f t="shared" si="75"/>
        <v>2.2510196371999172</v>
      </c>
      <c r="FQ60" s="766" t="b">
        <f t="shared" si="76"/>
        <v>0</v>
      </c>
      <c r="FR60" s="673"/>
      <c r="FS60" s="767">
        <f t="shared" si="77"/>
        <v>3.7029710304632193</v>
      </c>
      <c r="FT60" s="766">
        <f t="shared" si="78"/>
        <v>4.2200097544984279E-2</v>
      </c>
      <c r="FU60" s="766">
        <f t="shared" si="79"/>
        <v>2.8225092488975805E-3</v>
      </c>
      <c r="FV60" s="766">
        <f t="shared" si="80"/>
        <v>5.207303642960583</v>
      </c>
      <c r="FW60" s="766">
        <f t="shared" si="81"/>
        <v>2.5897845990616828</v>
      </c>
      <c r="FX60" s="766">
        <f t="shared" si="82"/>
        <v>4.9665054909308113</v>
      </c>
      <c r="FY60" s="766">
        <f t="shared" si="83"/>
        <v>9.7660836587389568</v>
      </c>
      <c r="FZ60" s="766">
        <f t="shared" si="84"/>
        <v>2.4315427904668683</v>
      </c>
      <c r="GA60" s="766">
        <f t="shared" si="85"/>
        <v>3.4612635495652544</v>
      </c>
      <c r="GB60" s="766">
        <f t="shared" si="86"/>
        <v>52.750121931230346</v>
      </c>
      <c r="GC60" s="766">
        <f t="shared" si="87"/>
        <v>8.5511390644460583</v>
      </c>
      <c r="GD60" s="766">
        <f t="shared" si="88"/>
        <v>26.900411753548777</v>
      </c>
      <c r="GE60" s="766">
        <f t="shared" si="89"/>
        <v>12.227459887976716</v>
      </c>
      <c r="GF60" s="766">
        <f t="shared" si="90"/>
        <v>5.7187211035404797</v>
      </c>
      <c r="GG60" s="766">
        <f t="shared" si="91"/>
        <v>3.7029710304632193</v>
      </c>
    </row>
    <row r="61" spans="1:189" s="32" customFormat="1" ht="15.5">
      <c r="A61" s="63"/>
      <c r="B61" s="292">
        <v>1</v>
      </c>
      <c r="C61" s="675">
        <v>0.1</v>
      </c>
      <c r="D61" s="870">
        <v>30</v>
      </c>
      <c r="E61" s="870">
        <v>16.899999999999999</v>
      </c>
      <c r="F61" s="675"/>
      <c r="G61" s="870">
        <v>2.6</v>
      </c>
      <c r="H61" s="870">
        <v>0.48599999999999999</v>
      </c>
      <c r="I61" s="870">
        <v>30</v>
      </c>
      <c r="J61" s="677"/>
      <c r="K61" s="870">
        <v>11.6</v>
      </c>
      <c r="L61" s="304">
        <f>IF(ISNUMBER(AW61),AY61*((500+6*AW61)/(6.57*AW61+30.34))^(1/(((1.024+0.232*LN(AY61/(10^(0.92*LOG(56.42*AV61)-0.865))))))),"")</f>
        <v>1.1479097832868674E-4</v>
      </c>
      <c r="M61" s="413">
        <f>IF(ISNUMBER(L61),L61*2.2,"")</f>
        <v>2.5254015232311088E-4</v>
      </c>
      <c r="N61" s="296">
        <f>IF(ISNUMBER(M61),0.03/M61,"")</f>
        <v>118.79299083346038</v>
      </c>
      <c r="O61" s="1056" t="s">
        <v>927</v>
      </c>
      <c r="P61" s="1057"/>
      <c r="Q61" s="1058"/>
      <c r="R61" s="782">
        <f>IF(ISNUMBER(AY78),AY78,"")</f>
        <v>27.055219199066304</v>
      </c>
      <c r="S61" s="818"/>
      <c r="T61" s="819"/>
      <c r="U61" s="756" t="s">
        <v>922</v>
      </c>
      <c r="V61" s="757"/>
      <c r="W61" s="806">
        <f t="shared" ref="W61:W68" si="124">IF(ISNUMBER(AS103),AS103,"")</f>
        <v>353.1981400522352</v>
      </c>
      <c r="X61" s="856">
        <f t="shared" ref="X61:X62" si="125">IF(ISNUMBER(CZ269),CZ269,"")</f>
        <v>52.754493868528293</v>
      </c>
      <c r="Y61" s="856" t="str">
        <f t="shared" ref="Y61:Y62" si="126">DA269</f>
        <v>Ddi+r (mm/yr)</v>
      </c>
      <c r="Z61" s="857">
        <f t="shared" ref="Z61:Z62" si="127">IF(ISNUMBER(FG269),FG269,"")</f>
        <v>56.767139749107173</v>
      </c>
      <c r="AA61" s="163"/>
      <c r="AB61" s="163"/>
      <c r="AC61" s="163"/>
      <c r="AD61" s="163"/>
      <c r="AE61" s="163"/>
      <c r="AF61" s="163"/>
      <c r="AG61" s="163"/>
      <c r="AH61" s="163"/>
      <c r="AI61" s="163"/>
      <c r="AJ61" s="163"/>
      <c r="AK61" s="168"/>
      <c r="AL61" s="163"/>
      <c r="AM61" s="163"/>
      <c r="AN61" s="46">
        <f t="shared" ref="AN61:AN72" si="128">IF(ISNUMBER(C61),C61-1,"")</f>
        <v>-0.9</v>
      </c>
      <c r="AO61" s="46">
        <f t="shared" ref="AO61:AO72" si="129">IF(ISNUMBER(C61),C61-0.3,"")</f>
        <v>-0.19999999999999998</v>
      </c>
      <c r="AP61" s="59">
        <f t="shared" ref="AP61:AP72" si="130">IF(ISNUMBER(C61),C61-0.1,"")</f>
        <v>0</v>
      </c>
      <c r="AQ61" s="46">
        <f>AVERAGE(D61)</f>
        <v>30</v>
      </c>
      <c r="AR61" s="46">
        <f>AVERAGE(E61)</f>
        <v>16.899999999999999</v>
      </c>
      <c r="AS61" s="46">
        <f>AVERAGE(AT61)</f>
        <v>2.6</v>
      </c>
      <c r="AT61" s="46">
        <f t="shared" ref="AT61:AT72" si="131">IF(ISNUMBER(G61),G61,IF(AND(ISNUMBER(F61),ISNUMBER(E61)),F61/E61*100,""))</f>
        <v>2.6</v>
      </c>
      <c r="AU61" s="59">
        <f t="shared" ref="AU61:AU72" si="132">IF(OR((I$59="ppm"),(I$59="mg/kg")),I61/10000,I61)</f>
        <v>30</v>
      </c>
      <c r="AV61" s="59">
        <f t="shared" ref="AV61:AV72" si="133">IF(ISNUMBER(I61),AU61,"")</f>
        <v>30</v>
      </c>
      <c r="AW61" s="59">
        <f>IF(ISNUMBER($J61),$J61,IF(AND(ISBLANK($J61),ISNUMBER($E61)),(1.34+0.15*$E61),IF(AND(ISBLANK($J61),ISBLANK($E61),ISNUMBER($K61)),(-1.37+0.42*$K61),IF(AND(ISBLANK($J61),ISBLANK($E61),ISBLANK($K61),ISNUMBER($D61)),(0.59+0.016*($D61^1.5)),"No Data"))))</f>
        <v>3.875</v>
      </c>
      <c r="AX61" s="737">
        <f>IF((H$59="µS/cm"),H61/1000,IF(H$59="dS/m",H61,""))</f>
        <v>0.48599999999999999</v>
      </c>
      <c r="AY61" s="737">
        <f>IF(ISNUMBER(H61),AX61,"")</f>
        <v>0.48599999999999999</v>
      </c>
      <c r="BA61" s="699"/>
      <c r="BY61" s="753" t="b">
        <f t="shared" si="94"/>
        <v>0</v>
      </c>
      <c r="BZ61" s="753">
        <f t="shared" si="19"/>
        <v>22.186245523030472</v>
      </c>
      <c r="CA61" s="751">
        <v>40</v>
      </c>
      <c r="CB61" s="752">
        <f t="shared" si="102"/>
        <v>27</v>
      </c>
      <c r="CC61" s="673">
        <f t="shared" si="20"/>
        <v>4.8137544769695273</v>
      </c>
      <c r="CD61" s="91">
        <f t="shared" si="9"/>
        <v>2</v>
      </c>
      <c r="CE61" s="752" t="b">
        <f t="shared" si="21"/>
        <v>0</v>
      </c>
      <c r="CF61" s="673"/>
      <c r="CG61" s="752">
        <f t="shared" si="22"/>
        <v>4.8137544769695273</v>
      </c>
      <c r="CH61" s="752">
        <f t="shared" si="23"/>
        <v>4.7554411170707703E-2</v>
      </c>
      <c r="CI61" s="752">
        <f t="shared" si="24"/>
        <v>3.1806268981279654E-3</v>
      </c>
      <c r="CJ61" s="755">
        <f t="shared" si="25"/>
        <v>5.1618718344350896</v>
      </c>
      <c r="CK61" s="755">
        <f t="shared" si="26"/>
        <v>2.5786890918974303</v>
      </c>
      <c r="CL61" s="755">
        <f t="shared" si="27"/>
        <v>4.2828443724205298</v>
      </c>
      <c r="CM61" s="755">
        <f t="shared" si="28"/>
        <v>8.4217396950021683</v>
      </c>
      <c r="CN61" s="755">
        <f t="shared" si="29"/>
        <v>2.3933242743381085</v>
      </c>
      <c r="CO61" s="755">
        <f t="shared" si="30"/>
        <v>3.4083371255504669</v>
      </c>
      <c r="CP61" s="755">
        <f t="shared" si="31"/>
        <v>59.44301396338463</v>
      </c>
      <c r="CQ61" s="755">
        <f t="shared" si="32"/>
        <v>9.6361005472818064</v>
      </c>
      <c r="CR61" s="755">
        <f t="shared" si="95"/>
        <v>23.871602487620624</v>
      </c>
      <c r="CS61" s="755">
        <f t="shared" si="33"/>
        <v>10.850728403463918</v>
      </c>
      <c r="CT61" s="755">
        <f t="shared" si="34"/>
        <v>4.8137544769695273</v>
      </c>
      <c r="CU61" s="755">
        <f t="shared" si="35"/>
        <v>3.630524606168346</v>
      </c>
      <c r="DD61" s="755" t="b">
        <f t="shared" si="96"/>
        <v>0</v>
      </c>
      <c r="DE61" s="755">
        <f t="shared" si="36"/>
        <v>25.036810743667694</v>
      </c>
      <c r="DF61" s="755">
        <v>40</v>
      </c>
      <c r="DG61" s="755">
        <f t="shared" si="97"/>
        <v>30</v>
      </c>
      <c r="DH61" s="673">
        <f t="shared" si="37"/>
        <v>4.9631892563323072</v>
      </c>
      <c r="DI61" s="673">
        <f t="shared" si="38"/>
        <v>2</v>
      </c>
      <c r="DJ61" s="766" t="b">
        <f t="shared" si="39"/>
        <v>0</v>
      </c>
      <c r="DK61" s="673"/>
      <c r="DL61" s="766">
        <f t="shared" si="40"/>
        <v>4.9631892563323072</v>
      </c>
      <c r="DM61" s="766">
        <f t="shared" si="41"/>
        <v>4.2889251572393448E-2</v>
      </c>
      <c r="DN61" s="766">
        <f t="shared" si="42"/>
        <v>2.8686025929758477E-3</v>
      </c>
      <c r="DO61" s="766">
        <f t="shared" si="43"/>
        <v>5.2013978072967655</v>
      </c>
      <c r="DP61" s="766">
        <f t="shared" si="44"/>
        <v>2.5883484607261544</v>
      </c>
      <c r="DQ61" s="766">
        <f t="shared" si="45"/>
        <v>4.3948380782498617</v>
      </c>
      <c r="DR61" s="766">
        <f t="shared" si="46"/>
        <v>8.6419629288994635</v>
      </c>
      <c r="DS61" s="766">
        <f t="shared" si="47"/>
        <v>2.4263280991743739</v>
      </c>
      <c r="DT61" s="766">
        <f t="shared" si="48"/>
        <v>3.4540411711605556</v>
      </c>
      <c r="DU61" s="766">
        <f t="shared" si="49"/>
        <v>53.61156446549181</v>
      </c>
      <c r="DV61" s="766">
        <f t="shared" si="50"/>
        <v>8.69078452187461</v>
      </c>
      <c r="DW61" s="766">
        <f t="shared" si="51"/>
        <v>26.46816995824415</v>
      </c>
      <c r="DX61" s="766">
        <f t="shared" si="52"/>
        <v>12.030986344656432</v>
      </c>
      <c r="DY61" s="766">
        <f t="shared" si="53"/>
        <v>4.9631892563323072</v>
      </c>
      <c r="DZ61" s="766">
        <f t="shared" si="54"/>
        <v>3.6930913570192376</v>
      </c>
      <c r="EF61" s="755" t="b">
        <f t="shared" si="98"/>
        <v>0</v>
      </c>
      <c r="EG61" s="755">
        <f t="shared" si="55"/>
        <v>22.186245523030472</v>
      </c>
      <c r="EH61" s="755">
        <v>40</v>
      </c>
      <c r="EI61" s="755">
        <f t="shared" si="103"/>
        <v>27</v>
      </c>
      <c r="EJ61" s="673">
        <f t="shared" si="56"/>
        <v>4.8137544769695273</v>
      </c>
      <c r="EK61" s="673">
        <f t="shared" si="57"/>
        <v>2.2510196371999172</v>
      </c>
      <c r="EL61" s="755" t="b">
        <f t="shared" si="58"/>
        <v>0</v>
      </c>
      <c r="EM61" s="673"/>
      <c r="EN61" s="755">
        <f t="shared" si="59"/>
        <v>4.8137544769695273</v>
      </c>
      <c r="EO61" s="755">
        <f t="shared" si="60"/>
        <v>4.7554411170707703E-2</v>
      </c>
      <c r="EP61" s="755">
        <f t="shared" si="61"/>
        <v>3.1806268981279654E-3</v>
      </c>
      <c r="EQ61" s="755">
        <f t="shared" si="62"/>
        <v>5.1618718344350896</v>
      </c>
      <c r="ER61" s="755">
        <f t="shared" si="63"/>
        <v>2.5786890918974303</v>
      </c>
      <c r="ES61" s="755">
        <f t="shared" si="64"/>
        <v>4.2828443724205298</v>
      </c>
      <c r="ET61" s="755">
        <f t="shared" si="65"/>
        <v>8.4217396950021683</v>
      </c>
      <c r="EU61" s="755">
        <f t="shared" si="66"/>
        <v>2.3933242743381085</v>
      </c>
      <c r="EV61" s="755">
        <f t="shared" si="67"/>
        <v>3.4083371255504669</v>
      </c>
      <c r="EW61" s="755">
        <f t="shared" si="68"/>
        <v>59.44301396338463</v>
      </c>
      <c r="EX61" s="755">
        <f t="shared" si="69"/>
        <v>9.6361005472818064</v>
      </c>
      <c r="EY61" s="755">
        <f t="shared" si="99"/>
        <v>23.871602487620624</v>
      </c>
      <c r="EZ61" s="755">
        <f t="shared" si="70"/>
        <v>10.850728403463918</v>
      </c>
      <c r="FA61" s="755">
        <f t="shared" si="71"/>
        <v>4.8137544769695273</v>
      </c>
      <c r="FB61" s="755">
        <f t="shared" si="72"/>
        <v>3.630524606168346</v>
      </c>
      <c r="FK61" s="755" t="b">
        <f t="shared" si="100"/>
        <v>0</v>
      </c>
      <c r="FL61" s="755">
        <f t="shared" si="73"/>
        <v>26.306908642980762</v>
      </c>
      <c r="FM61" s="755">
        <v>40</v>
      </c>
      <c r="FN61" s="767">
        <f t="shared" si="101"/>
        <v>30</v>
      </c>
      <c r="FO61" s="673">
        <f t="shared" si="74"/>
        <v>3.6930913570192376</v>
      </c>
      <c r="FP61" s="673">
        <f t="shared" si="75"/>
        <v>2.2510196371999172</v>
      </c>
      <c r="FQ61" s="766" t="b">
        <f t="shared" si="76"/>
        <v>0</v>
      </c>
      <c r="FR61" s="673"/>
      <c r="FS61" s="767">
        <f t="shared" si="77"/>
        <v>3.6930913570192376</v>
      </c>
      <c r="FT61" s="766">
        <f t="shared" si="78"/>
        <v>4.2889251572393448E-2</v>
      </c>
      <c r="FU61" s="766">
        <f t="shared" si="79"/>
        <v>2.8686025929758477E-3</v>
      </c>
      <c r="FV61" s="766">
        <f t="shared" si="80"/>
        <v>5.2013978072967655</v>
      </c>
      <c r="FW61" s="766">
        <f t="shared" si="81"/>
        <v>2.5883484607261544</v>
      </c>
      <c r="FX61" s="766">
        <f t="shared" si="82"/>
        <v>4.9464334082271924</v>
      </c>
      <c r="FY61" s="766">
        <f t="shared" si="83"/>
        <v>9.7266141284532015</v>
      </c>
      <c r="FZ61" s="766">
        <f t="shared" si="84"/>
        <v>2.4263280991743739</v>
      </c>
      <c r="GA61" s="766">
        <f t="shared" si="85"/>
        <v>3.4540411711605556</v>
      </c>
      <c r="GB61" s="766">
        <f t="shared" si="86"/>
        <v>53.61156446549181</v>
      </c>
      <c r="GC61" s="766">
        <f t="shared" si="87"/>
        <v>8.69078452187461</v>
      </c>
      <c r="GD61" s="766">
        <f t="shared" si="88"/>
        <v>26.46816995824415</v>
      </c>
      <c r="GE61" s="766">
        <f t="shared" si="89"/>
        <v>12.030986344656432</v>
      </c>
      <c r="GF61" s="766">
        <f t="shared" si="90"/>
        <v>5.6923968157259113</v>
      </c>
      <c r="GG61" s="766">
        <f t="shared" si="91"/>
        <v>3.6930913570192376</v>
      </c>
    </row>
    <row r="62" spans="1:189" ht="15.5">
      <c r="B62" s="292">
        <v>2</v>
      </c>
      <c r="C62" s="675">
        <v>0.2</v>
      </c>
      <c r="D62" s="870">
        <v>50</v>
      </c>
      <c r="E62" s="870">
        <v>26.5</v>
      </c>
      <c r="F62" s="675"/>
      <c r="G62" s="870">
        <v>6</v>
      </c>
      <c r="H62" s="870">
        <v>0.13800000000000001</v>
      </c>
      <c r="I62" s="870">
        <v>80</v>
      </c>
      <c r="J62" s="677"/>
      <c r="K62" s="870">
        <v>17.3</v>
      </c>
      <c r="L62" s="304">
        <f t="shared" ref="L62:L72" si="134">IF(ISNUMBER(AW62),AY62*((500+6*AW62)/(6.57*AW62+30.34))^(1/(((1.024+0.232*LN(AY62/(10^(0.92*LOG(56.42*AV62)-0.865))))))),"")</f>
        <v>9.0302493281713969E-3</v>
      </c>
      <c r="M62" s="413">
        <f t="shared" ref="M62:M72" si="135">IF(ISNUMBER(L62),L62*2.2,"")</f>
        <v>1.9866548521977074E-2</v>
      </c>
      <c r="N62" s="296">
        <f t="shared" ref="N62:N72" si="136">IF(ISNUMBER(M62),0.03/M62,"")</f>
        <v>1.51007609433581</v>
      </c>
      <c r="O62" s="1056" t="s">
        <v>928</v>
      </c>
      <c r="P62" s="1057"/>
      <c r="Q62" s="1058"/>
      <c r="R62" s="804">
        <f>IF(ISNUMBER(AY79),AY79,"")</f>
        <v>31.184295445831442</v>
      </c>
      <c r="S62" s="818"/>
      <c r="T62" s="819"/>
      <c r="U62" s="756" t="s">
        <v>1524</v>
      </c>
      <c r="V62" s="757"/>
      <c r="W62" s="806">
        <f t="shared" si="124"/>
        <v>51.029854681792322</v>
      </c>
      <c r="X62" s="856">
        <f t="shared" si="125"/>
        <v>7.621937520747899</v>
      </c>
      <c r="Y62" s="856" t="str">
        <f t="shared" si="126"/>
        <v>Ddi+r/Ddr (ratio)</v>
      </c>
      <c r="Z62" s="857">
        <f t="shared" si="127"/>
        <v>8.2016821823283639</v>
      </c>
      <c r="AA62" s="161"/>
      <c r="AB62" s="161"/>
      <c r="AC62" s="161"/>
      <c r="AD62" s="161"/>
      <c r="AE62" s="161"/>
      <c r="AF62" s="161"/>
      <c r="AG62" s="161"/>
      <c r="AH62" s="161"/>
      <c r="AI62" s="161"/>
      <c r="AJ62" s="161"/>
      <c r="AK62" s="168"/>
      <c r="AL62" s="161"/>
      <c r="AM62" s="161"/>
      <c r="AN62" s="160">
        <f t="shared" si="128"/>
        <v>-0.8</v>
      </c>
      <c r="AO62" s="160">
        <f t="shared" si="129"/>
        <v>-9.9999999999999978E-2</v>
      </c>
      <c r="AP62" s="160">
        <f t="shared" si="130"/>
        <v>0.1</v>
      </c>
      <c r="AQ62" s="46">
        <f>AVERAGE(D61:D62)</f>
        <v>40</v>
      </c>
      <c r="AR62" s="46">
        <f>AVERAGE(E61:E62)</f>
        <v>21.7</v>
      </c>
      <c r="AS62" s="46">
        <f>AVERAGE(AT61:AT62)</f>
        <v>4.3</v>
      </c>
      <c r="AT62" s="46">
        <f t="shared" si="131"/>
        <v>6</v>
      </c>
      <c r="AU62" s="59">
        <f t="shared" si="132"/>
        <v>80</v>
      </c>
      <c r="AV62" s="59">
        <f t="shared" si="133"/>
        <v>80</v>
      </c>
      <c r="AW62" s="730">
        <f t="shared" ref="AW62:AW72" si="137">IF(ISNUMBER($J62),$J62,IF(AND(ISBLANK($J62),ISNUMBER($E62)),(1.34+0.15*$E62),IF(AND(ISBLANK($J62),ISBLANK($E62),ISNUMBER($K62)),(-1.37+0.42*$K62),IF(AND(ISBLANK($J62),ISBLANK($E62),ISBLANK($K62),ISNUMBER($D62)),(0.59+0.016*($D62^1.5)),"No Data"))))</f>
        <v>5.3149999999999995</v>
      </c>
      <c r="AX62" s="737">
        <f t="shared" ref="AX62:AX73" si="138">IF((H$59="µS/cm"),H62/1000,IF(H$59="dS/m",H62,""))</f>
        <v>0.13800000000000001</v>
      </c>
      <c r="AY62" s="737">
        <f t="shared" ref="AY62:AY73" si="139">IF(ISNUMBER(H62),AX62,"")</f>
        <v>0.13800000000000001</v>
      </c>
      <c r="BY62" s="753" t="b">
        <f t="shared" si="94"/>
        <v>0</v>
      </c>
      <c r="BZ62" s="753">
        <f t="shared" si="19"/>
        <v>22.660463713994695</v>
      </c>
      <c r="CA62" s="751">
        <v>41</v>
      </c>
      <c r="CB62" s="752">
        <f t="shared" si="102"/>
        <v>27.5</v>
      </c>
      <c r="CC62" s="673">
        <f t="shared" si="20"/>
        <v>4.8395362860053055</v>
      </c>
      <c r="CD62" s="91">
        <f t="shared" si="9"/>
        <v>2</v>
      </c>
      <c r="CE62" s="752" t="b">
        <f t="shared" si="21"/>
        <v>0</v>
      </c>
      <c r="CF62" s="673"/>
      <c r="CG62" s="752">
        <f t="shared" si="22"/>
        <v>4.8395362860053055</v>
      </c>
      <c r="CH62" s="752">
        <f t="shared" si="23"/>
        <v>4.6706923004423528E-2</v>
      </c>
      <c r="CI62" s="752">
        <f t="shared" si="24"/>
        <v>3.1239435412916813E-3</v>
      </c>
      <c r="CJ62" s="755">
        <f t="shared" si="25"/>
        <v>5.1689941802894834</v>
      </c>
      <c r="CK62" s="755">
        <f t="shared" si="26"/>
        <v>2.5804358070767162</v>
      </c>
      <c r="CL62" s="755">
        <f t="shared" si="27"/>
        <v>4.3021414090058894</v>
      </c>
      <c r="CM62" s="755">
        <f t="shared" si="28"/>
        <v>8.4596851828310857</v>
      </c>
      <c r="CN62" s="755">
        <f t="shared" si="29"/>
        <v>2.3990429302027518</v>
      </c>
      <c r="CO62" s="755">
        <f t="shared" si="30"/>
        <v>3.416255576924188</v>
      </c>
      <c r="CP62" s="755">
        <f t="shared" si="31"/>
        <v>58.383653755529409</v>
      </c>
      <c r="CQ62" s="755">
        <f t="shared" si="32"/>
        <v>9.464371343157497</v>
      </c>
      <c r="CR62" s="755">
        <f t="shared" si="95"/>
        <v>24.30474813963847</v>
      </c>
      <c r="CS62" s="755">
        <f t="shared" si="33"/>
        <v>11.047612790744758</v>
      </c>
      <c r="CT62" s="755">
        <f t="shared" si="34"/>
        <v>4.8395362860053055</v>
      </c>
      <c r="CU62" s="755">
        <f t="shared" si="35"/>
        <v>3.6413704259567394</v>
      </c>
      <c r="CX62" s="755"/>
      <c r="CY62" s="755"/>
      <c r="CZ62" s="755"/>
      <c r="DA62" s="755"/>
      <c r="DB62" s="755"/>
      <c r="DC62" s="755"/>
      <c r="DD62" s="755" t="b">
        <f t="shared" si="96"/>
        <v>0</v>
      </c>
      <c r="DE62" s="755">
        <f t="shared" si="36"/>
        <v>24.560876197581425</v>
      </c>
      <c r="DF62" s="755">
        <v>41</v>
      </c>
      <c r="DG62" s="755">
        <f t="shared" si="97"/>
        <v>29.5</v>
      </c>
      <c r="DH62" s="673">
        <f t="shared" si="37"/>
        <v>4.9391238024185737</v>
      </c>
      <c r="DI62" s="673">
        <f t="shared" si="38"/>
        <v>2</v>
      </c>
      <c r="DJ62" s="766" t="b">
        <f t="shared" si="39"/>
        <v>0</v>
      </c>
      <c r="DK62" s="673"/>
      <c r="DL62" s="766">
        <f t="shared" si="40"/>
        <v>4.9391238024185737</v>
      </c>
      <c r="DM62" s="766">
        <f t="shared" si="41"/>
        <v>4.3601529254921605E-2</v>
      </c>
      <c r="DN62" s="766">
        <f t="shared" si="42"/>
        <v>2.9162425384659267E-3</v>
      </c>
      <c r="DO62" s="766">
        <f t="shared" si="43"/>
        <v>5.1953120762775091</v>
      </c>
      <c r="DP62" s="766">
        <f t="shared" si="44"/>
        <v>2.5868666425834861</v>
      </c>
      <c r="DQ62" s="766">
        <f t="shared" si="45"/>
        <v>4.376778468120512</v>
      </c>
      <c r="DR62" s="766">
        <f t="shared" si="46"/>
        <v>8.606450703313584</v>
      </c>
      <c r="DS62" s="766">
        <f t="shared" si="47"/>
        <v>2.4210360735221341</v>
      </c>
      <c r="DT62" s="766">
        <f t="shared" si="48"/>
        <v>3.4467119665761357</v>
      </c>
      <c r="DU62" s="766">
        <f t="shared" si="49"/>
        <v>54.501911568652005</v>
      </c>
      <c r="DV62" s="766">
        <f t="shared" si="50"/>
        <v>8.835115598581412</v>
      </c>
      <c r="DW62" s="766">
        <f t="shared" si="51"/>
        <v>26.035784051584891</v>
      </c>
      <c r="DX62" s="766">
        <f t="shared" si="52"/>
        <v>11.834447296174949</v>
      </c>
      <c r="DY62" s="766">
        <f t="shared" si="53"/>
        <v>4.9391238024185737</v>
      </c>
      <c r="DZ62" s="766">
        <f t="shared" si="54"/>
        <v>3.6830634807105405</v>
      </c>
      <c r="EB62" s="755"/>
      <c r="EC62" s="755"/>
      <c r="ED62" s="755"/>
      <c r="EE62" s="755"/>
      <c r="EF62" s="755" t="b">
        <f t="shared" si="98"/>
        <v>0</v>
      </c>
      <c r="EG62" s="755">
        <f t="shared" si="55"/>
        <v>22.660463713994695</v>
      </c>
      <c r="EH62" s="755">
        <v>41</v>
      </c>
      <c r="EI62" s="755">
        <f t="shared" si="103"/>
        <v>27.5</v>
      </c>
      <c r="EJ62" s="673">
        <f t="shared" si="56"/>
        <v>4.8395362860053055</v>
      </c>
      <c r="EK62" s="673">
        <f t="shared" si="57"/>
        <v>2.2510196371999172</v>
      </c>
      <c r="EL62" s="755" t="b">
        <f t="shared" si="58"/>
        <v>0</v>
      </c>
      <c r="EM62" s="673"/>
      <c r="EN62" s="755">
        <f t="shared" si="59"/>
        <v>4.8395362860053055</v>
      </c>
      <c r="EO62" s="755">
        <f t="shared" si="60"/>
        <v>4.6706923004423528E-2</v>
      </c>
      <c r="EP62" s="755">
        <f t="shared" si="61"/>
        <v>3.1239435412916813E-3</v>
      </c>
      <c r="EQ62" s="755">
        <f t="shared" si="62"/>
        <v>5.1689941802894834</v>
      </c>
      <c r="ER62" s="755">
        <f t="shared" si="63"/>
        <v>2.5804358070767162</v>
      </c>
      <c r="ES62" s="755">
        <f t="shared" si="64"/>
        <v>4.3021414090058894</v>
      </c>
      <c r="ET62" s="755">
        <f t="shared" si="65"/>
        <v>8.4596851828310857</v>
      </c>
      <c r="EU62" s="755">
        <f t="shared" si="66"/>
        <v>2.3990429302027518</v>
      </c>
      <c r="EV62" s="755">
        <f t="shared" si="67"/>
        <v>3.416255576924188</v>
      </c>
      <c r="EW62" s="755">
        <f t="shared" si="68"/>
        <v>58.383653755529409</v>
      </c>
      <c r="EX62" s="755">
        <f t="shared" si="69"/>
        <v>9.464371343157497</v>
      </c>
      <c r="EY62" s="755">
        <f t="shared" si="99"/>
        <v>24.30474813963847</v>
      </c>
      <c r="EZ62" s="755">
        <f t="shared" si="70"/>
        <v>11.047612790744758</v>
      </c>
      <c r="FA62" s="755">
        <f t="shared" si="71"/>
        <v>4.8395362860053055</v>
      </c>
      <c r="FB62" s="755">
        <f t="shared" si="72"/>
        <v>3.6413704259567394</v>
      </c>
      <c r="FC62" s="755"/>
      <c r="FD62" s="755"/>
      <c r="FE62" s="755"/>
      <c r="FF62" s="755"/>
      <c r="FG62" s="755"/>
      <c r="FH62" s="755"/>
      <c r="FI62" s="755"/>
      <c r="FJ62" s="755"/>
      <c r="FK62" s="755" t="b">
        <f t="shared" si="100"/>
        <v>0</v>
      </c>
      <c r="FL62" s="755">
        <f t="shared" si="73"/>
        <v>25.81693651928946</v>
      </c>
      <c r="FM62" s="755">
        <v>41</v>
      </c>
      <c r="FN62" s="767">
        <f t="shared" si="101"/>
        <v>29.5</v>
      </c>
      <c r="FO62" s="673">
        <f t="shared" si="74"/>
        <v>3.6830634807105405</v>
      </c>
      <c r="FP62" s="673">
        <f t="shared" si="75"/>
        <v>2.2510196371999172</v>
      </c>
      <c r="FQ62" s="766" t="b">
        <f t="shared" si="76"/>
        <v>0</v>
      </c>
      <c r="FR62" s="673"/>
      <c r="FS62" s="767">
        <f t="shared" si="77"/>
        <v>3.6830634807105405</v>
      </c>
      <c r="FT62" s="766">
        <f t="shared" si="78"/>
        <v>4.3601529254921605E-2</v>
      </c>
      <c r="FU62" s="766">
        <f t="shared" si="79"/>
        <v>2.9162425384659267E-3</v>
      </c>
      <c r="FV62" s="766">
        <f t="shared" si="80"/>
        <v>5.1953120762775091</v>
      </c>
      <c r="FW62" s="766">
        <f t="shared" si="81"/>
        <v>2.5868666425834861</v>
      </c>
      <c r="FX62" s="766">
        <f t="shared" si="82"/>
        <v>4.9261071397065219</v>
      </c>
      <c r="FY62" s="766">
        <f t="shared" si="83"/>
        <v>9.6866447698759579</v>
      </c>
      <c r="FZ62" s="766">
        <f t="shared" si="84"/>
        <v>2.4210360735221341</v>
      </c>
      <c r="GA62" s="766">
        <f t="shared" si="85"/>
        <v>3.4467119665761357</v>
      </c>
      <c r="GB62" s="766">
        <f t="shared" si="86"/>
        <v>54.501911568652005</v>
      </c>
      <c r="GC62" s="766">
        <f t="shared" si="87"/>
        <v>8.835115598581412</v>
      </c>
      <c r="GD62" s="766">
        <f t="shared" si="88"/>
        <v>26.035784051584891</v>
      </c>
      <c r="GE62" s="766">
        <f t="shared" si="89"/>
        <v>11.834447296174949</v>
      </c>
      <c r="GF62" s="766">
        <f t="shared" si="90"/>
        <v>5.6657241816963264</v>
      </c>
      <c r="GG62" s="766">
        <f t="shared" si="91"/>
        <v>3.6830634807105405</v>
      </c>
    </row>
    <row r="63" spans="1:189" ht="15.5">
      <c r="B63" s="292">
        <v>3</v>
      </c>
      <c r="C63" s="675">
        <v>0.3</v>
      </c>
      <c r="D63" s="870">
        <v>48</v>
      </c>
      <c r="E63" s="870">
        <v>29.7</v>
      </c>
      <c r="F63" s="675"/>
      <c r="G63" s="870">
        <v>7.8</v>
      </c>
      <c r="H63" s="870">
        <v>0.39400000000000002</v>
      </c>
      <c r="I63" s="870">
        <v>340</v>
      </c>
      <c r="J63" s="677"/>
      <c r="K63" s="870">
        <v>17.2</v>
      </c>
      <c r="L63" s="304">
        <f t="shared" si="134"/>
        <v>3.3563944683675614E-2</v>
      </c>
      <c r="M63" s="413">
        <f t="shared" si="135"/>
        <v>7.384067830408636E-2</v>
      </c>
      <c r="N63" s="296">
        <f t="shared" si="136"/>
        <v>0.40628012484467918</v>
      </c>
      <c r="O63" s="1056" t="s">
        <v>916</v>
      </c>
      <c r="P63" s="1057"/>
      <c r="Q63" s="1058"/>
      <c r="R63" s="810">
        <f>IF(ISNUMBER(AY102),AY102,"")</f>
        <v>36.712209493733241</v>
      </c>
      <c r="S63" s="820">
        <f>IF(ISNUMBER(CZ266),CZ266,"")</f>
        <v>59.054127821203345</v>
      </c>
      <c r="T63" s="821">
        <f>IF(ISNUMBER(FG266),FG266,"")</f>
        <v>70.41814583128955</v>
      </c>
      <c r="U63" s="756" t="s">
        <v>919</v>
      </c>
      <c r="V63" s="757"/>
      <c r="W63" s="807">
        <f t="shared" si="124"/>
        <v>3.9182812762420989</v>
      </c>
      <c r="X63" s="816"/>
      <c r="Y63" s="816"/>
      <c r="Z63" s="817"/>
      <c r="AA63" s="161"/>
      <c r="AB63" s="161"/>
      <c r="AC63" s="161"/>
      <c r="AD63" s="161"/>
      <c r="AE63" s="161"/>
      <c r="AF63" s="161"/>
      <c r="AG63" s="161"/>
      <c r="AH63" s="161"/>
      <c r="AI63" s="161"/>
      <c r="AJ63" s="161"/>
      <c r="AK63" s="168"/>
      <c r="AL63" s="161"/>
      <c r="AM63" s="161"/>
      <c r="AN63" s="160">
        <f t="shared" si="128"/>
        <v>-0.7</v>
      </c>
      <c r="AO63" s="160">
        <f t="shared" si="129"/>
        <v>0</v>
      </c>
      <c r="AP63" s="160">
        <f t="shared" si="130"/>
        <v>0.19999999999999998</v>
      </c>
      <c r="AQ63" s="46">
        <f>AVERAGE(D61:D63)</f>
        <v>42.666666666666664</v>
      </c>
      <c r="AR63" s="46">
        <f>AVERAGE(E61:E63)</f>
        <v>24.366666666666664</v>
      </c>
      <c r="AS63" s="46">
        <f>AVERAGE(AT61:AT63)</f>
        <v>5.4666666666666659</v>
      </c>
      <c r="AT63" s="46">
        <f t="shared" si="131"/>
        <v>7.8</v>
      </c>
      <c r="AU63" s="59">
        <f t="shared" si="132"/>
        <v>340</v>
      </c>
      <c r="AV63" s="59">
        <f t="shared" si="133"/>
        <v>340</v>
      </c>
      <c r="AW63" s="730">
        <f t="shared" si="137"/>
        <v>5.7949999999999999</v>
      </c>
      <c r="AX63" s="737">
        <f t="shared" si="138"/>
        <v>0.39400000000000002</v>
      </c>
      <c r="AY63" s="737">
        <f t="shared" si="139"/>
        <v>0.39400000000000002</v>
      </c>
      <c r="BY63" s="753" t="b">
        <f t="shared" si="94"/>
        <v>0</v>
      </c>
      <c r="BZ63" s="753">
        <f t="shared" si="19"/>
        <v>23.135047105668484</v>
      </c>
      <c r="CA63" s="751">
        <v>42</v>
      </c>
      <c r="CB63" s="752">
        <f t="shared" si="102"/>
        <v>28</v>
      </c>
      <c r="CC63" s="673">
        <f t="shared" si="20"/>
        <v>4.8649528943315161</v>
      </c>
      <c r="CD63" s="91">
        <f t="shared" si="9"/>
        <v>2</v>
      </c>
      <c r="CE63" s="752" t="b">
        <f t="shared" si="21"/>
        <v>0</v>
      </c>
      <c r="CF63" s="673"/>
      <c r="CG63" s="752">
        <f t="shared" si="22"/>
        <v>4.8649528943315161</v>
      </c>
      <c r="CH63" s="752">
        <f t="shared" si="23"/>
        <v>4.5889404998452572E-2</v>
      </c>
      <c r="CI63" s="752">
        <f t="shared" si="24"/>
        <v>3.0692647071839251E-3</v>
      </c>
      <c r="CJ63" s="755">
        <f t="shared" si="25"/>
        <v>5.1758889187326043</v>
      </c>
      <c r="CK63" s="755">
        <f t="shared" si="26"/>
        <v>2.5821241201259157</v>
      </c>
      <c r="CL63" s="755">
        <f t="shared" si="27"/>
        <v>4.3211753399303987</v>
      </c>
      <c r="CM63" s="755">
        <f t="shared" si="28"/>
        <v>8.4971133024823899</v>
      </c>
      <c r="CN63" s="755">
        <f t="shared" si="29"/>
        <v>2.4046704712395615</v>
      </c>
      <c r="CO63" s="755">
        <f t="shared" si="30"/>
        <v>3.4240481949004011</v>
      </c>
      <c r="CP63" s="755">
        <f t="shared" si="31"/>
        <v>57.361756248065717</v>
      </c>
      <c r="CQ63" s="755">
        <f t="shared" si="32"/>
        <v>9.2987150872852364</v>
      </c>
      <c r="CR63" s="755">
        <f t="shared" si="95"/>
        <v>24.737736304017886</v>
      </c>
      <c r="CS63" s="755">
        <f t="shared" si="33"/>
        <v>11.244425592735402</v>
      </c>
      <c r="CT63" s="755">
        <f t="shared" si="34"/>
        <v>4.8649528943315161</v>
      </c>
      <c r="CU63" s="755">
        <f t="shared" si="35"/>
        <v>3.6520415099410766</v>
      </c>
      <c r="CX63" s="755"/>
      <c r="CY63" s="755"/>
      <c r="CZ63" s="755"/>
      <c r="DA63" s="755"/>
      <c r="DB63" s="755"/>
      <c r="DC63" s="755"/>
      <c r="DD63" s="755" t="b">
        <f t="shared" si="96"/>
        <v>0</v>
      </c>
      <c r="DE63" s="755">
        <f t="shared" si="36"/>
        <v>24.085264034620266</v>
      </c>
      <c r="DF63" s="755">
        <v>42</v>
      </c>
      <c r="DG63" s="755">
        <f t="shared" si="97"/>
        <v>29</v>
      </c>
      <c r="DH63" s="673">
        <f t="shared" si="37"/>
        <v>4.914735965379732</v>
      </c>
      <c r="DI63" s="673">
        <f t="shared" si="38"/>
        <v>2</v>
      </c>
      <c r="DJ63" s="766" t="b">
        <f t="shared" si="39"/>
        <v>0</v>
      </c>
      <c r="DK63" s="673"/>
      <c r="DL63" s="766">
        <f t="shared" si="40"/>
        <v>4.914735965379732</v>
      </c>
      <c r="DM63" s="766">
        <f t="shared" si="41"/>
        <v>4.4338118467499188E-2</v>
      </c>
      <c r="DN63" s="766">
        <f t="shared" si="42"/>
        <v>2.9655085351362473E-3</v>
      </c>
      <c r="DO63" s="766">
        <f t="shared" si="43"/>
        <v>5.189038060742754</v>
      </c>
      <c r="DP63" s="766">
        <f t="shared" si="44"/>
        <v>2.5853369205189725</v>
      </c>
      <c r="DQ63" s="766">
        <f t="shared" si="45"/>
        <v>4.3584862557728004</v>
      </c>
      <c r="DR63" s="766">
        <f t="shared" si="46"/>
        <v>8.5704810911954894</v>
      </c>
      <c r="DS63" s="766">
        <f t="shared" si="47"/>
        <v>2.4156642248246407</v>
      </c>
      <c r="DT63" s="766">
        <f t="shared" si="48"/>
        <v>3.4392725028658866</v>
      </c>
      <c r="DU63" s="766">
        <f t="shared" si="49"/>
        <v>55.422648084373982</v>
      </c>
      <c r="DV63" s="766">
        <f t="shared" si="50"/>
        <v>8.9843729974157984</v>
      </c>
      <c r="DW63" s="766">
        <f t="shared" si="51"/>
        <v>25.603251541495304</v>
      </c>
      <c r="DX63" s="766">
        <f t="shared" si="52"/>
        <v>11.637841609770591</v>
      </c>
      <c r="DY63" s="766">
        <f t="shared" si="53"/>
        <v>4.914735965379732</v>
      </c>
      <c r="DZ63" s="766">
        <f t="shared" si="54"/>
        <v>3.67288261111015</v>
      </c>
      <c r="EB63" s="755"/>
      <c r="EC63" s="755"/>
      <c r="ED63" s="755"/>
      <c r="EE63" s="755"/>
      <c r="EF63" s="755" t="b">
        <f t="shared" si="98"/>
        <v>0</v>
      </c>
      <c r="EG63" s="755">
        <f t="shared" si="55"/>
        <v>23.135047105668484</v>
      </c>
      <c r="EH63" s="755">
        <v>42</v>
      </c>
      <c r="EI63" s="755">
        <f t="shared" si="103"/>
        <v>28</v>
      </c>
      <c r="EJ63" s="673">
        <f t="shared" si="56"/>
        <v>4.8649528943315161</v>
      </c>
      <c r="EK63" s="673">
        <f t="shared" si="57"/>
        <v>2.2510196371999172</v>
      </c>
      <c r="EL63" s="755" t="b">
        <f t="shared" si="58"/>
        <v>0</v>
      </c>
      <c r="EM63" s="673"/>
      <c r="EN63" s="755">
        <f t="shared" si="59"/>
        <v>4.8649528943315161</v>
      </c>
      <c r="EO63" s="755">
        <f t="shared" si="60"/>
        <v>4.5889404998452572E-2</v>
      </c>
      <c r="EP63" s="755">
        <f t="shared" si="61"/>
        <v>3.0692647071839251E-3</v>
      </c>
      <c r="EQ63" s="755">
        <f t="shared" si="62"/>
        <v>5.1758889187326043</v>
      </c>
      <c r="ER63" s="755">
        <f t="shared" si="63"/>
        <v>2.5821241201259157</v>
      </c>
      <c r="ES63" s="755">
        <f t="shared" si="64"/>
        <v>4.3211753399303987</v>
      </c>
      <c r="ET63" s="755">
        <f t="shared" si="65"/>
        <v>8.4971133024823899</v>
      </c>
      <c r="EU63" s="755">
        <f t="shared" si="66"/>
        <v>2.4046704712395615</v>
      </c>
      <c r="EV63" s="755">
        <f t="shared" si="67"/>
        <v>3.4240481949004011</v>
      </c>
      <c r="EW63" s="755">
        <f t="shared" si="68"/>
        <v>57.361756248065717</v>
      </c>
      <c r="EX63" s="755">
        <f t="shared" si="69"/>
        <v>9.2987150872852364</v>
      </c>
      <c r="EY63" s="755">
        <f t="shared" si="99"/>
        <v>24.737736304017886</v>
      </c>
      <c r="EZ63" s="755">
        <f t="shared" si="70"/>
        <v>11.244425592735402</v>
      </c>
      <c r="FA63" s="755">
        <f t="shared" si="71"/>
        <v>4.8649528943315161</v>
      </c>
      <c r="FB63" s="755">
        <f t="shared" si="72"/>
        <v>3.6520415099410766</v>
      </c>
      <c r="FC63" s="755"/>
      <c r="FD63" s="755"/>
      <c r="FE63" s="755"/>
      <c r="FF63" s="755"/>
      <c r="FG63" s="755"/>
      <c r="FH63" s="755"/>
      <c r="FI63" s="755"/>
      <c r="FJ63" s="755"/>
      <c r="FK63" s="755" t="b">
        <f t="shared" si="100"/>
        <v>0</v>
      </c>
      <c r="FL63" s="755">
        <f t="shared" si="73"/>
        <v>25.32711738888985</v>
      </c>
      <c r="FM63" s="755">
        <v>42</v>
      </c>
      <c r="FN63" s="767">
        <f t="shared" si="101"/>
        <v>29</v>
      </c>
      <c r="FO63" s="673">
        <f t="shared" si="74"/>
        <v>3.67288261111015</v>
      </c>
      <c r="FP63" s="673">
        <f t="shared" si="75"/>
        <v>2.2510196371999172</v>
      </c>
      <c r="FQ63" s="766" t="b">
        <f t="shared" si="76"/>
        <v>0</v>
      </c>
      <c r="FR63" s="673"/>
      <c r="FS63" s="767">
        <f t="shared" si="77"/>
        <v>3.67288261111015</v>
      </c>
      <c r="FT63" s="766">
        <f t="shared" si="78"/>
        <v>4.4338118467499188E-2</v>
      </c>
      <c r="FU63" s="766">
        <f t="shared" si="79"/>
        <v>2.9655085351362473E-3</v>
      </c>
      <c r="FV63" s="766">
        <f t="shared" si="80"/>
        <v>5.189038060742754</v>
      </c>
      <c r="FW63" s="766">
        <f t="shared" si="81"/>
        <v>2.5853369205189725</v>
      </c>
      <c r="FX63" s="766">
        <f t="shared" si="82"/>
        <v>4.9055190751052571</v>
      </c>
      <c r="FY63" s="766">
        <f t="shared" si="83"/>
        <v>9.6461606182658102</v>
      </c>
      <c r="FZ63" s="766">
        <f t="shared" si="84"/>
        <v>2.4156642248246407</v>
      </c>
      <c r="GA63" s="766">
        <f t="shared" si="85"/>
        <v>3.4392725028658866</v>
      </c>
      <c r="GB63" s="766">
        <f t="shared" si="86"/>
        <v>55.422648084373982</v>
      </c>
      <c r="GC63" s="766">
        <f t="shared" si="87"/>
        <v>8.9843729974157984</v>
      </c>
      <c r="GD63" s="766">
        <f t="shared" si="88"/>
        <v>25.603251541495304</v>
      </c>
      <c r="GE63" s="766">
        <f t="shared" si="89"/>
        <v>11.637841609770591</v>
      </c>
      <c r="GF63" s="766">
        <f t="shared" si="90"/>
        <v>5.6386926277874423</v>
      </c>
      <c r="GG63" s="766">
        <f t="shared" si="91"/>
        <v>3.67288261111015</v>
      </c>
    </row>
    <row r="64" spans="1:189" ht="15.5">
      <c r="B64" s="292">
        <v>4</v>
      </c>
      <c r="C64" s="675">
        <v>0.6</v>
      </c>
      <c r="D64" s="870">
        <v>47</v>
      </c>
      <c r="E64" s="870">
        <v>42.7</v>
      </c>
      <c r="F64" s="675"/>
      <c r="G64" s="870">
        <v>6.9</v>
      </c>
      <c r="H64" s="870">
        <v>1.22</v>
      </c>
      <c r="I64" s="870">
        <v>2060</v>
      </c>
      <c r="J64" s="677"/>
      <c r="K64" s="870">
        <v>16.2</v>
      </c>
      <c r="L64" s="304">
        <f t="shared" si="134"/>
        <v>0.16651739902607446</v>
      </c>
      <c r="M64" s="413">
        <f t="shared" si="135"/>
        <v>0.36633827785736384</v>
      </c>
      <c r="N64" s="296">
        <f t="shared" si="136"/>
        <v>8.1891524345923505E-2</v>
      </c>
      <c r="O64" s="1056" t="s">
        <v>613</v>
      </c>
      <c r="P64" s="1057"/>
      <c r="Q64" s="1058"/>
      <c r="R64" s="810">
        <f>IF(ISNUMBER(AY103),AY103,"")</f>
        <v>25.535754712601655</v>
      </c>
      <c r="S64" s="856">
        <f>IF(ISNUMBER(CZ267),CZ267,"")</f>
        <v>34.224160084578862</v>
      </c>
      <c r="T64" s="857">
        <f>IF(ISNUMBER(FG267),FG267,"")</f>
        <v>33.85200654334259</v>
      </c>
      <c r="U64" s="756" t="s">
        <v>1507</v>
      </c>
      <c r="V64" s="757"/>
      <c r="W64" s="807">
        <f t="shared" si="124"/>
        <v>1.7810369437464084</v>
      </c>
      <c r="X64" s="816"/>
      <c r="Y64" s="816"/>
      <c r="Z64" s="817"/>
      <c r="AA64" s="161"/>
      <c r="AB64" s="161"/>
      <c r="AC64" s="161"/>
      <c r="AD64" s="161"/>
      <c r="AE64" s="161"/>
      <c r="AF64" s="161"/>
      <c r="AG64" s="161"/>
      <c r="AH64" s="161"/>
      <c r="AI64" s="161"/>
      <c r="AJ64" s="161"/>
      <c r="AK64" s="168"/>
      <c r="AL64" s="161"/>
      <c r="AM64" s="161"/>
      <c r="AN64" s="160">
        <f t="shared" si="128"/>
        <v>-0.4</v>
      </c>
      <c r="AO64" s="160">
        <f t="shared" si="129"/>
        <v>0.3</v>
      </c>
      <c r="AP64" s="160">
        <f t="shared" si="130"/>
        <v>0.5</v>
      </c>
      <c r="AQ64" s="46">
        <f>AVERAGE(D61:D64)</f>
        <v>43.75</v>
      </c>
      <c r="AR64" s="46">
        <f>AVERAGE(E61:E64)</f>
        <v>28.95</v>
      </c>
      <c r="AS64" s="46">
        <f>AVERAGE(AT61:AT64)</f>
        <v>5.8249999999999993</v>
      </c>
      <c r="AT64" s="46">
        <f t="shared" si="131"/>
        <v>6.9</v>
      </c>
      <c r="AU64" s="59">
        <f t="shared" si="132"/>
        <v>2060</v>
      </c>
      <c r="AV64" s="59">
        <f t="shared" si="133"/>
        <v>2060</v>
      </c>
      <c r="AW64" s="730">
        <f t="shared" si="137"/>
        <v>7.7450000000000001</v>
      </c>
      <c r="AX64" s="737">
        <f t="shared" si="138"/>
        <v>1.22</v>
      </c>
      <c r="AY64" s="737">
        <f t="shared" si="139"/>
        <v>1.22</v>
      </c>
      <c r="BY64" s="753" t="b">
        <f t="shared" si="94"/>
        <v>0</v>
      </c>
      <c r="BZ64" s="753">
        <f t="shared" si="19"/>
        <v>23.609984194934338</v>
      </c>
      <c r="CA64" s="751">
        <v>43</v>
      </c>
      <c r="CB64" s="752">
        <f t="shared" si="102"/>
        <v>28.5</v>
      </c>
      <c r="CC64" s="673">
        <f t="shared" si="20"/>
        <v>4.8900158050656621</v>
      </c>
      <c r="CD64" s="91">
        <f t="shared" si="9"/>
        <v>2</v>
      </c>
      <c r="CE64" s="752" t="b">
        <f t="shared" si="21"/>
        <v>0</v>
      </c>
      <c r="CF64" s="673"/>
      <c r="CG64" s="752">
        <f t="shared" si="22"/>
        <v>4.8900158050656621</v>
      </c>
      <c r="CH64" s="752">
        <f t="shared" si="23"/>
        <v>4.5100290013558447E-2</v>
      </c>
      <c r="CI64" s="752">
        <f t="shared" si="24"/>
        <v>3.0164855793410779E-3</v>
      </c>
      <c r="CJ64" s="755">
        <f t="shared" si="25"/>
        <v>5.182566839959275</v>
      </c>
      <c r="CK64" s="755">
        <f t="shared" si="26"/>
        <v>2.5837569232883695</v>
      </c>
      <c r="CL64" s="755">
        <f t="shared" si="27"/>
        <v>4.3399543562743386</v>
      </c>
      <c r="CM64" s="755">
        <f t="shared" si="28"/>
        <v>8.5340401608093615</v>
      </c>
      <c r="CN64" s="755">
        <f t="shared" si="29"/>
        <v>2.4102099396480665</v>
      </c>
      <c r="CO64" s="755">
        <f t="shared" si="30"/>
        <v>3.4317191751676357</v>
      </c>
      <c r="CP64" s="755">
        <f t="shared" si="31"/>
        <v>56.375362516948059</v>
      </c>
      <c r="CQ64" s="755">
        <f t="shared" si="32"/>
        <v>9.1388142252913767</v>
      </c>
      <c r="CR64" s="755">
        <f t="shared" si="95"/>
        <v>25.170569849079154</v>
      </c>
      <c r="CS64" s="755">
        <f t="shared" si="33"/>
        <v>11.441168113217797</v>
      </c>
      <c r="CT64" s="755">
        <f t="shared" si="34"/>
        <v>4.8900158050656621</v>
      </c>
      <c r="CU64" s="755">
        <f t="shared" si="35"/>
        <v>3.6625437170284791</v>
      </c>
      <c r="CX64" s="755"/>
      <c r="CY64" s="755"/>
      <c r="CZ64" s="755"/>
      <c r="DA64" s="755"/>
      <c r="DB64" s="755"/>
      <c r="DC64" s="755"/>
      <c r="DD64" s="755" t="b">
        <f t="shared" si="96"/>
        <v>0</v>
      </c>
      <c r="DE64" s="755">
        <f t="shared" si="36"/>
        <v>23.609984194934338</v>
      </c>
      <c r="DF64" s="755">
        <v>43</v>
      </c>
      <c r="DG64" s="755">
        <f t="shared" si="97"/>
        <v>28.5</v>
      </c>
      <c r="DH64" s="673">
        <f t="shared" si="37"/>
        <v>4.8900158050656621</v>
      </c>
      <c r="DI64" s="673">
        <f t="shared" si="38"/>
        <v>2</v>
      </c>
      <c r="DJ64" s="766" t="b">
        <f t="shared" si="39"/>
        <v>0</v>
      </c>
      <c r="DK64" s="673"/>
      <c r="DL64" s="766">
        <f t="shared" si="40"/>
        <v>4.8900158050656621</v>
      </c>
      <c r="DM64" s="766">
        <f t="shared" si="41"/>
        <v>4.5100290013558447E-2</v>
      </c>
      <c r="DN64" s="766">
        <f t="shared" si="42"/>
        <v>3.0164855793410779E-3</v>
      </c>
      <c r="DO64" s="766">
        <f t="shared" si="43"/>
        <v>5.182566839959275</v>
      </c>
      <c r="DP64" s="766">
        <f t="shared" si="44"/>
        <v>2.5837569232883695</v>
      </c>
      <c r="DQ64" s="766">
        <f t="shared" si="45"/>
        <v>4.3399543562743386</v>
      </c>
      <c r="DR64" s="766">
        <f t="shared" si="46"/>
        <v>8.5340401608093615</v>
      </c>
      <c r="DS64" s="766">
        <f t="shared" si="47"/>
        <v>2.4102099396480665</v>
      </c>
      <c r="DT64" s="766">
        <f t="shared" si="48"/>
        <v>3.4317191751676357</v>
      </c>
      <c r="DU64" s="766">
        <f t="shared" si="49"/>
        <v>56.375362516948059</v>
      </c>
      <c r="DV64" s="766">
        <f t="shared" si="50"/>
        <v>9.1388142252913767</v>
      </c>
      <c r="DW64" s="766">
        <f t="shared" si="51"/>
        <v>25.170569849079154</v>
      </c>
      <c r="DX64" s="766">
        <f t="shared" si="52"/>
        <v>11.441168113217797</v>
      </c>
      <c r="DY64" s="766">
        <f t="shared" si="53"/>
        <v>4.8900158050656621</v>
      </c>
      <c r="DZ64" s="766">
        <f t="shared" si="54"/>
        <v>3.6625437170284791</v>
      </c>
      <c r="EB64" s="755"/>
      <c r="EC64" s="755"/>
      <c r="ED64" s="755"/>
      <c r="EE64" s="755"/>
      <c r="EF64" s="755" t="b">
        <f t="shared" si="98"/>
        <v>0</v>
      </c>
      <c r="EG64" s="755">
        <f t="shared" si="55"/>
        <v>23.609984194934338</v>
      </c>
      <c r="EH64" s="755">
        <v>43</v>
      </c>
      <c r="EI64" s="755">
        <f t="shared" si="103"/>
        <v>28.5</v>
      </c>
      <c r="EJ64" s="673">
        <f t="shared" si="56"/>
        <v>4.8900158050656621</v>
      </c>
      <c r="EK64" s="673">
        <f t="shared" si="57"/>
        <v>2.2510196371999172</v>
      </c>
      <c r="EL64" s="755" t="b">
        <f t="shared" si="58"/>
        <v>0</v>
      </c>
      <c r="EM64" s="673"/>
      <c r="EN64" s="755">
        <f t="shared" si="59"/>
        <v>4.8900158050656621</v>
      </c>
      <c r="EO64" s="755">
        <f t="shared" si="60"/>
        <v>4.5100290013558447E-2</v>
      </c>
      <c r="EP64" s="755">
        <f t="shared" si="61"/>
        <v>3.0164855793410779E-3</v>
      </c>
      <c r="EQ64" s="755">
        <f t="shared" si="62"/>
        <v>5.182566839959275</v>
      </c>
      <c r="ER64" s="755">
        <f t="shared" si="63"/>
        <v>2.5837569232883695</v>
      </c>
      <c r="ES64" s="755">
        <f t="shared" si="64"/>
        <v>4.3399543562743386</v>
      </c>
      <c r="ET64" s="755">
        <f t="shared" si="65"/>
        <v>8.5340401608093615</v>
      </c>
      <c r="EU64" s="755">
        <f t="shared" si="66"/>
        <v>2.4102099396480665</v>
      </c>
      <c r="EV64" s="755">
        <f t="shared" si="67"/>
        <v>3.4317191751676357</v>
      </c>
      <c r="EW64" s="755">
        <f t="shared" si="68"/>
        <v>56.375362516948059</v>
      </c>
      <c r="EX64" s="755">
        <f t="shared" si="69"/>
        <v>9.1388142252913767</v>
      </c>
      <c r="EY64" s="755">
        <f t="shared" si="99"/>
        <v>25.170569849079154</v>
      </c>
      <c r="EZ64" s="755">
        <f t="shared" si="70"/>
        <v>11.441168113217797</v>
      </c>
      <c r="FA64" s="755">
        <f t="shared" si="71"/>
        <v>4.8900158050656621</v>
      </c>
      <c r="FB64" s="755">
        <f t="shared" si="72"/>
        <v>3.6625437170284791</v>
      </c>
      <c r="FC64" s="755"/>
      <c r="FD64" s="755"/>
      <c r="FE64" s="755"/>
      <c r="FF64" s="755"/>
      <c r="FG64" s="755"/>
      <c r="FH64" s="755"/>
      <c r="FI64" s="755"/>
      <c r="FJ64" s="755"/>
      <c r="FK64" s="755" t="b">
        <f t="shared" si="100"/>
        <v>0</v>
      </c>
      <c r="FL64" s="755">
        <f t="shared" si="73"/>
        <v>24.83745628297152</v>
      </c>
      <c r="FM64" s="755">
        <v>43</v>
      </c>
      <c r="FN64" s="767">
        <f t="shared" si="101"/>
        <v>28.5</v>
      </c>
      <c r="FO64" s="673">
        <f t="shared" si="74"/>
        <v>3.6625437170284791</v>
      </c>
      <c r="FP64" s="673">
        <f t="shared" si="75"/>
        <v>2.2510196371999172</v>
      </c>
      <c r="FQ64" s="766" t="b">
        <f t="shared" si="76"/>
        <v>0</v>
      </c>
      <c r="FR64" s="673"/>
      <c r="FS64" s="767">
        <f t="shared" si="77"/>
        <v>3.6625437170284791</v>
      </c>
      <c r="FT64" s="766">
        <f t="shared" si="78"/>
        <v>4.5100290013558447E-2</v>
      </c>
      <c r="FU64" s="766">
        <f t="shared" si="79"/>
        <v>3.0164855793410779E-3</v>
      </c>
      <c r="FV64" s="766">
        <f t="shared" si="80"/>
        <v>5.182566839959275</v>
      </c>
      <c r="FW64" s="766">
        <f t="shared" si="81"/>
        <v>2.5837569232883695</v>
      </c>
      <c r="FX64" s="766">
        <f t="shared" si="82"/>
        <v>4.8846612402624308</v>
      </c>
      <c r="FY64" s="766">
        <f t="shared" si="83"/>
        <v>9.605145993317306</v>
      </c>
      <c r="FZ64" s="766">
        <f t="shared" si="84"/>
        <v>2.4102099396480665</v>
      </c>
      <c r="GA64" s="766">
        <f t="shared" si="85"/>
        <v>3.4317191751676357</v>
      </c>
      <c r="GB64" s="766">
        <f t="shared" si="86"/>
        <v>56.375362516948059</v>
      </c>
      <c r="GC64" s="766">
        <f t="shared" si="87"/>
        <v>9.1388142252913767</v>
      </c>
      <c r="GD64" s="766">
        <f t="shared" si="88"/>
        <v>25.170569849079154</v>
      </c>
      <c r="GE64" s="766">
        <f t="shared" si="89"/>
        <v>11.441168113217797</v>
      </c>
      <c r="GF64" s="766">
        <f t="shared" si="90"/>
        <v>5.6112910708556853</v>
      </c>
      <c r="GG64" s="766">
        <f t="shared" si="91"/>
        <v>3.6625437170284791</v>
      </c>
    </row>
    <row r="65" spans="1:189" ht="15.5">
      <c r="B65" s="292">
        <v>5</v>
      </c>
      <c r="C65" s="675">
        <v>0.9</v>
      </c>
      <c r="D65" s="870">
        <v>43</v>
      </c>
      <c r="E65" s="870">
        <v>22</v>
      </c>
      <c r="F65" s="675"/>
      <c r="G65" s="870">
        <v>8</v>
      </c>
      <c r="H65" s="870">
        <v>1.1200000000000001</v>
      </c>
      <c r="I65" s="870">
        <v>1770</v>
      </c>
      <c r="J65" s="675"/>
      <c r="K65" s="870">
        <v>15.6</v>
      </c>
      <c r="L65" s="304">
        <f t="shared" si="134"/>
        <v>0.11371388066384269</v>
      </c>
      <c r="M65" s="413">
        <f t="shared" si="135"/>
        <v>0.25017053746045392</v>
      </c>
      <c r="N65" s="296">
        <f t="shared" si="136"/>
        <v>0.11991819782032603</v>
      </c>
      <c r="O65" s="1056" t="s">
        <v>923</v>
      </c>
      <c r="P65" s="1057"/>
      <c r="Q65" s="1058"/>
      <c r="R65" s="804">
        <f>IF(ISNUMBER(AY86),AY86,"")</f>
        <v>7.4021552991055142</v>
      </c>
      <c r="S65" s="818"/>
      <c r="T65" s="819"/>
      <c r="U65" s="756" t="s">
        <v>920</v>
      </c>
      <c r="V65" s="757"/>
      <c r="W65" s="808">
        <f t="shared" si="124"/>
        <v>8.0043456615651802</v>
      </c>
      <c r="X65" s="814">
        <f>IF(ISNUMBER(CZ273),CZ273,"")</f>
        <v>30.212038503715497</v>
      </c>
      <c r="Y65" s="814" t="str">
        <f t="shared" ref="Y65" si="140">DA273</f>
        <v>ECs  of Ddi+r (dS/m)</v>
      </c>
      <c r="Z65" s="815">
        <f>IF(ISNUMBER(FG273),FG273,"")</f>
        <v>49.802051195374247</v>
      </c>
      <c r="AA65" s="161"/>
      <c r="AB65" s="161"/>
      <c r="AC65" s="161"/>
      <c r="AD65" s="161"/>
      <c r="AE65" s="161"/>
      <c r="AF65" s="161"/>
      <c r="AG65" s="161"/>
      <c r="AH65" s="161"/>
      <c r="AI65" s="161"/>
      <c r="AJ65" s="161"/>
      <c r="AK65" s="168"/>
      <c r="AL65" s="161"/>
      <c r="AM65" s="161"/>
      <c r="AN65" s="160">
        <f t="shared" si="128"/>
        <v>-9.9999999999999978E-2</v>
      </c>
      <c r="AO65" s="160">
        <f t="shared" si="129"/>
        <v>0.60000000000000009</v>
      </c>
      <c r="AP65" s="160">
        <f t="shared" si="130"/>
        <v>0.8</v>
      </c>
      <c r="AQ65" s="46">
        <f>AVERAGE(D61:D65)</f>
        <v>43.6</v>
      </c>
      <c r="AR65" s="46">
        <f>AVERAGE(E61:E65)</f>
        <v>27.560000000000002</v>
      </c>
      <c r="AS65" s="46">
        <f>AVERAGE(AT61:AT65)</f>
        <v>6.26</v>
      </c>
      <c r="AT65" s="46">
        <f t="shared" si="131"/>
        <v>8</v>
      </c>
      <c r="AU65" s="59">
        <f t="shared" si="132"/>
        <v>1770</v>
      </c>
      <c r="AV65" s="59">
        <f t="shared" si="133"/>
        <v>1770</v>
      </c>
      <c r="AW65" s="730">
        <f t="shared" si="137"/>
        <v>4.6399999999999997</v>
      </c>
      <c r="AX65" s="737">
        <f t="shared" si="138"/>
        <v>1.1200000000000001</v>
      </c>
      <c r="AY65" s="737">
        <f t="shared" si="139"/>
        <v>1.1200000000000001</v>
      </c>
      <c r="BB65" s="699"/>
      <c r="BY65" s="753" t="b">
        <f t="shared" si="94"/>
        <v>0</v>
      </c>
      <c r="BZ65" s="753">
        <f t="shared" si="19"/>
        <v>24.085264034620266</v>
      </c>
      <c r="CA65" s="751">
        <v>44</v>
      </c>
      <c r="CB65" s="752">
        <f t="shared" si="102"/>
        <v>29</v>
      </c>
      <c r="CC65" s="673">
        <f t="shared" si="20"/>
        <v>4.914735965379732</v>
      </c>
      <c r="CD65" s="91">
        <f t="shared" si="9"/>
        <v>2</v>
      </c>
      <c r="CE65" s="752" t="b">
        <f t="shared" si="21"/>
        <v>0</v>
      </c>
      <c r="CF65" s="673"/>
      <c r="CG65" s="752">
        <f t="shared" si="22"/>
        <v>4.914735965379732</v>
      </c>
      <c r="CH65" s="752">
        <f t="shared" si="23"/>
        <v>4.4338118467499188E-2</v>
      </c>
      <c r="CI65" s="752">
        <f t="shared" si="24"/>
        <v>2.9655085351362473E-3</v>
      </c>
      <c r="CJ65" s="755">
        <f t="shared" si="25"/>
        <v>5.189038060742754</v>
      </c>
      <c r="CK65" s="755">
        <f t="shared" si="26"/>
        <v>2.5853369205189725</v>
      </c>
      <c r="CL65" s="755">
        <f t="shared" si="27"/>
        <v>4.3584862557728004</v>
      </c>
      <c r="CM65" s="755">
        <f t="shared" si="28"/>
        <v>8.5704810911954894</v>
      </c>
      <c r="CN65" s="755">
        <f t="shared" si="29"/>
        <v>2.4156642248246407</v>
      </c>
      <c r="CO65" s="755">
        <f t="shared" si="30"/>
        <v>3.4392725028658866</v>
      </c>
      <c r="CP65" s="755">
        <f t="shared" si="31"/>
        <v>55.422648084373982</v>
      </c>
      <c r="CQ65" s="755">
        <f t="shared" si="32"/>
        <v>8.9843729974157984</v>
      </c>
      <c r="CR65" s="755">
        <f t="shared" si="95"/>
        <v>25.603251541495304</v>
      </c>
      <c r="CS65" s="755">
        <f t="shared" si="33"/>
        <v>11.637841609770591</v>
      </c>
      <c r="CT65" s="755">
        <f t="shared" si="34"/>
        <v>4.914735965379732</v>
      </c>
      <c r="CU65" s="755">
        <f t="shared" si="35"/>
        <v>3.67288261111015</v>
      </c>
      <c r="CX65" s="755"/>
      <c r="CY65" s="755"/>
      <c r="CZ65" s="755"/>
      <c r="DA65" s="755"/>
      <c r="DB65" s="755"/>
      <c r="DC65" s="755"/>
      <c r="DD65" s="755" t="b">
        <f t="shared" si="96"/>
        <v>0</v>
      </c>
      <c r="DE65" s="755">
        <f t="shared" si="36"/>
        <v>23.135047105668484</v>
      </c>
      <c r="DF65" s="755">
        <v>44</v>
      </c>
      <c r="DG65" s="755">
        <f t="shared" si="97"/>
        <v>28</v>
      </c>
      <c r="DH65" s="673">
        <f t="shared" si="37"/>
        <v>4.8649528943315161</v>
      </c>
      <c r="DI65" s="673">
        <f t="shared" si="38"/>
        <v>2</v>
      </c>
      <c r="DJ65" s="766" t="b">
        <f t="shared" si="39"/>
        <v>0</v>
      </c>
      <c r="DK65" s="673"/>
      <c r="DL65" s="766">
        <f t="shared" si="40"/>
        <v>4.8649528943315161</v>
      </c>
      <c r="DM65" s="766">
        <f t="shared" si="41"/>
        <v>4.5889404998452572E-2</v>
      </c>
      <c r="DN65" s="766">
        <f t="shared" si="42"/>
        <v>3.0692647071839251E-3</v>
      </c>
      <c r="DO65" s="766">
        <f t="shared" si="43"/>
        <v>5.1758889187326043</v>
      </c>
      <c r="DP65" s="766">
        <f t="shared" si="44"/>
        <v>2.5821241201259157</v>
      </c>
      <c r="DQ65" s="766">
        <f t="shared" si="45"/>
        <v>4.3211753399303987</v>
      </c>
      <c r="DR65" s="766">
        <f t="shared" si="46"/>
        <v>8.4971133024823899</v>
      </c>
      <c r="DS65" s="766">
        <f t="shared" si="47"/>
        <v>2.4046704712395615</v>
      </c>
      <c r="DT65" s="766">
        <f t="shared" si="48"/>
        <v>3.4240481949004011</v>
      </c>
      <c r="DU65" s="766">
        <f t="shared" si="49"/>
        <v>57.361756248065717</v>
      </c>
      <c r="DV65" s="766">
        <f t="shared" si="50"/>
        <v>9.2987150872852364</v>
      </c>
      <c r="DW65" s="766">
        <f t="shared" si="51"/>
        <v>24.737736304017886</v>
      </c>
      <c r="DX65" s="766">
        <f t="shared" si="52"/>
        <v>11.244425592735402</v>
      </c>
      <c r="DY65" s="766">
        <f t="shared" si="53"/>
        <v>4.8649528943315161</v>
      </c>
      <c r="DZ65" s="766">
        <f t="shared" si="54"/>
        <v>3.6520415099410766</v>
      </c>
      <c r="EB65" s="755"/>
      <c r="EC65" s="755"/>
      <c r="ED65" s="755"/>
      <c r="EE65" s="755"/>
      <c r="EF65" s="755" t="b">
        <f t="shared" si="98"/>
        <v>0</v>
      </c>
      <c r="EG65" s="755">
        <f t="shared" si="55"/>
        <v>24.085264034620266</v>
      </c>
      <c r="EH65" s="755">
        <v>44</v>
      </c>
      <c r="EI65" s="755">
        <f t="shared" si="103"/>
        <v>29</v>
      </c>
      <c r="EJ65" s="673">
        <f t="shared" si="56"/>
        <v>4.914735965379732</v>
      </c>
      <c r="EK65" s="673">
        <f t="shared" si="57"/>
        <v>2.2510196371999172</v>
      </c>
      <c r="EL65" s="755" t="b">
        <f t="shared" si="58"/>
        <v>0</v>
      </c>
      <c r="EM65" s="673"/>
      <c r="EN65" s="755">
        <f t="shared" si="59"/>
        <v>4.914735965379732</v>
      </c>
      <c r="EO65" s="755">
        <f t="shared" si="60"/>
        <v>4.4338118467499188E-2</v>
      </c>
      <c r="EP65" s="755">
        <f t="shared" si="61"/>
        <v>2.9655085351362473E-3</v>
      </c>
      <c r="EQ65" s="755">
        <f t="shared" si="62"/>
        <v>5.189038060742754</v>
      </c>
      <c r="ER65" s="755">
        <f t="shared" si="63"/>
        <v>2.5853369205189725</v>
      </c>
      <c r="ES65" s="755">
        <f t="shared" si="64"/>
        <v>4.3584862557728004</v>
      </c>
      <c r="ET65" s="755">
        <f t="shared" si="65"/>
        <v>8.5704810911954894</v>
      </c>
      <c r="EU65" s="755">
        <f t="shared" si="66"/>
        <v>2.4156642248246407</v>
      </c>
      <c r="EV65" s="755">
        <f t="shared" si="67"/>
        <v>3.4392725028658866</v>
      </c>
      <c r="EW65" s="755">
        <f t="shared" si="68"/>
        <v>55.422648084373982</v>
      </c>
      <c r="EX65" s="755">
        <f t="shared" si="69"/>
        <v>8.9843729974157984</v>
      </c>
      <c r="EY65" s="755">
        <f t="shared" si="99"/>
        <v>25.603251541495304</v>
      </c>
      <c r="EZ65" s="755">
        <f t="shared" si="70"/>
        <v>11.637841609770591</v>
      </c>
      <c r="FA65" s="755">
        <f t="shared" si="71"/>
        <v>4.914735965379732</v>
      </c>
      <c r="FB65" s="755">
        <f t="shared" si="72"/>
        <v>3.67288261111015</v>
      </c>
      <c r="FC65" s="755"/>
      <c r="FD65" s="755"/>
      <c r="FE65" s="755"/>
      <c r="FF65" s="755"/>
      <c r="FG65" s="755"/>
      <c r="FH65" s="755"/>
      <c r="FI65" s="755"/>
      <c r="FJ65" s="755"/>
      <c r="FK65" s="755" t="b">
        <f t="shared" si="100"/>
        <v>0</v>
      </c>
      <c r="FL65" s="755">
        <f t="shared" si="73"/>
        <v>24.347958490058922</v>
      </c>
      <c r="FM65" s="755">
        <v>44</v>
      </c>
      <c r="FN65" s="767">
        <f t="shared" si="101"/>
        <v>28</v>
      </c>
      <c r="FO65" s="673">
        <f t="shared" si="74"/>
        <v>3.6520415099410766</v>
      </c>
      <c r="FP65" s="673">
        <f t="shared" si="75"/>
        <v>2.2510196371999172</v>
      </c>
      <c r="FQ65" s="766" t="b">
        <f t="shared" si="76"/>
        <v>0</v>
      </c>
      <c r="FR65" s="673"/>
      <c r="FS65" s="767">
        <f t="shared" si="77"/>
        <v>3.6520415099410766</v>
      </c>
      <c r="FT65" s="766">
        <f t="shared" si="78"/>
        <v>4.5889404998452572E-2</v>
      </c>
      <c r="FU65" s="766">
        <f t="shared" si="79"/>
        <v>3.0692647071839251E-3</v>
      </c>
      <c r="FV65" s="766">
        <f t="shared" si="80"/>
        <v>5.1758889187326043</v>
      </c>
      <c r="FW65" s="766">
        <f t="shared" si="81"/>
        <v>2.5821241201259157</v>
      </c>
      <c r="FX65" s="766">
        <f t="shared" si="82"/>
        <v>4.8635252729836775</v>
      </c>
      <c r="FY65" s="766">
        <f t="shared" si="83"/>
        <v>9.5635844517002493</v>
      </c>
      <c r="FZ65" s="766">
        <f t="shared" si="84"/>
        <v>2.4046704712395615</v>
      </c>
      <c r="GA65" s="766">
        <f t="shared" si="85"/>
        <v>3.4240481949004011</v>
      </c>
      <c r="GB65" s="766">
        <f t="shared" si="86"/>
        <v>57.361756248065717</v>
      </c>
      <c r="GC65" s="766">
        <f t="shared" si="87"/>
        <v>9.2987150872852364</v>
      </c>
      <c r="GD65" s="766">
        <f t="shared" si="88"/>
        <v>24.737736304017886</v>
      </c>
      <c r="GE65" s="766">
        <f t="shared" si="89"/>
        <v>11.244425592735402</v>
      </c>
      <c r="GF65" s="766">
        <f t="shared" si="90"/>
        <v>5.5835078843112855</v>
      </c>
      <c r="GG65" s="766">
        <f t="shared" si="91"/>
        <v>3.6520415099410766</v>
      </c>
    </row>
    <row r="66" spans="1:189" ht="15.5">
      <c r="B66" s="292">
        <v>6</v>
      </c>
      <c r="C66" s="675"/>
      <c r="D66" s="872"/>
      <c r="E66" s="872"/>
      <c r="F66" s="675"/>
      <c r="G66" s="872"/>
      <c r="H66" s="873"/>
      <c r="I66" s="874"/>
      <c r="J66" s="677"/>
      <c r="K66" s="872"/>
      <c r="L66" s="304" t="str">
        <f t="shared" si="134"/>
        <v/>
      </c>
      <c r="M66" s="413" t="str">
        <f t="shared" si="135"/>
        <v/>
      </c>
      <c r="N66" s="296" t="str">
        <f t="shared" si="136"/>
        <v/>
      </c>
      <c r="O66" s="1056" t="s">
        <v>924</v>
      </c>
      <c r="P66" s="1057"/>
      <c r="Q66" s="1058"/>
      <c r="R66" s="804">
        <f>IF(ISNUMBER(AY87),AY87,"")</f>
        <v>6.4923302147446273</v>
      </c>
      <c r="S66" s="818"/>
      <c r="T66" s="819"/>
      <c r="U66" s="756" t="s">
        <v>921</v>
      </c>
      <c r="V66" s="757"/>
      <c r="W66" s="808">
        <f t="shared" si="124"/>
        <v>3.6383389370750816</v>
      </c>
      <c r="X66" s="854">
        <f t="shared" ref="X66:X68" si="141">IF(ISNUMBER(CZ274),CZ274,"")</f>
        <v>13.732744774416133</v>
      </c>
      <c r="Y66" s="854" t="str">
        <f t="shared" ref="Y66:Y68" si="142">DA274</f>
        <v>ECse of Ddi+r (dS/m)</v>
      </c>
      <c r="Z66" s="855">
        <f t="shared" ref="Z66:Z68" si="143">IF(ISNUMBER(FG274),FG274,"")</f>
        <v>22.637295997897382</v>
      </c>
      <c r="AA66" s="161"/>
      <c r="AB66" s="161"/>
      <c r="AC66" s="161"/>
      <c r="AD66" s="161"/>
      <c r="AE66" s="161"/>
      <c r="AF66" s="161"/>
      <c r="AG66" s="161"/>
      <c r="AH66" s="161"/>
      <c r="AI66" s="161"/>
      <c r="AJ66" s="161"/>
      <c r="AK66" s="168"/>
      <c r="AL66" s="161"/>
      <c r="AM66" s="161"/>
      <c r="AN66" s="160" t="str">
        <f t="shared" si="128"/>
        <v/>
      </c>
      <c r="AO66" s="160" t="str">
        <f t="shared" si="129"/>
        <v/>
      </c>
      <c r="AP66" s="160" t="str">
        <f t="shared" si="130"/>
        <v/>
      </c>
      <c r="AQ66" s="46">
        <f>AVERAGE(D61:D66)</f>
        <v>43.6</v>
      </c>
      <c r="AR66" s="46">
        <f>AVERAGE(E61:E66)</f>
        <v>27.560000000000002</v>
      </c>
      <c r="AS66" s="46">
        <f>AVERAGE(AT61:AT66)</f>
        <v>6.26</v>
      </c>
      <c r="AT66" s="617" t="str">
        <f t="shared" si="131"/>
        <v/>
      </c>
      <c r="AU66" s="59">
        <f t="shared" si="132"/>
        <v>0</v>
      </c>
      <c r="AV66" s="59" t="str">
        <f t="shared" si="133"/>
        <v/>
      </c>
      <c r="AW66" s="730" t="str">
        <f t="shared" si="137"/>
        <v>No Data</v>
      </c>
      <c r="AX66" s="737">
        <f t="shared" si="138"/>
        <v>0</v>
      </c>
      <c r="AY66" s="737" t="str">
        <f t="shared" si="139"/>
        <v/>
      </c>
      <c r="BY66" s="753" t="b">
        <f t="shared" si="94"/>
        <v>0</v>
      </c>
      <c r="BZ66" s="753">
        <f t="shared" si="19"/>
        <v>24.560876197581425</v>
      </c>
      <c r="CA66" s="751">
        <v>45</v>
      </c>
      <c r="CB66" s="752">
        <f t="shared" si="102"/>
        <v>29.5</v>
      </c>
      <c r="CC66" s="673">
        <f t="shared" si="20"/>
        <v>4.9391238024185737</v>
      </c>
      <c r="CD66" s="91">
        <f t="shared" si="9"/>
        <v>2</v>
      </c>
      <c r="CE66" s="752" t="b">
        <f t="shared" si="21"/>
        <v>0</v>
      </c>
      <c r="CF66" s="673"/>
      <c r="CG66" s="752">
        <f t="shared" si="22"/>
        <v>4.9391238024185737</v>
      </c>
      <c r="CH66" s="752">
        <f t="shared" si="23"/>
        <v>4.3601529254921605E-2</v>
      </c>
      <c r="CI66" s="752">
        <f t="shared" si="24"/>
        <v>2.9162425384659267E-3</v>
      </c>
      <c r="CJ66" s="755">
        <f t="shared" si="25"/>
        <v>5.1953120762775091</v>
      </c>
      <c r="CK66" s="755">
        <f t="shared" si="26"/>
        <v>2.5868666425834861</v>
      </c>
      <c r="CL66" s="755">
        <f t="shared" si="27"/>
        <v>4.376778468120512</v>
      </c>
      <c r="CM66" s="755">
        <f t="shared" si="28"/>
        <v>8.606450703313584</v>
      </c>
      <c r="CN66" s="755">
        <f t="shared" si="29"/>
        <v>2.4210360735221341</v>
      </c>
      <c r="CO66" s="755">
        <f t="shared" si="30"/>
        <v>3.4467119665761357</v>
      </c>
      <c r="CP66" s="755">
        <f t="shared" si="31"/>
        <v>54.501911568652005</v>
      </c>
      <c r="CQ66" s="755">
        <f t="shared" si="32"/>
        <v>8.835115598581412</v>
      </c>
      <c r="CR66" s="755">
        <f t="shared" si="95"/>
        <v>26.035784051584891</v>
      </c>
      <c r="CS66" s="755">
        <f t="shared" si="33"/>
        <v>11.834447296174949</v>
      </c>
      <c r="CT66" s="755">
        <f t="shared" si="34"/>
        <v>4.9391238024185737</v>
      </c>
      <c r="CU66" s="755">
        <f t="shared" si="35"/>
        <v>3.6830634807105405</v>
      </c>
      <c r="CX66" s="755"/>
      <c r="CY66" s="755"/>
      <c r="CZ66" s="755"/>
      <c r="DA66" s="755"/>
      <c r="DB66" s="755"/>
      <c r="DC66" s="755"/>
      <c r="DD66" s="755" t="b">
        <f t="shared" si="96"/>
        <v>0</v>
      </c>
      <c r="DE66" s="755">
        <f t="shared" si="36"/>
        <v>22.660463713994695</v>
      </c>
      <c r="DF66" s="755">
        <v>45</v>
      </c>
      <c r="DG66" s="755">
        <f t="shared" si="97"/>
        <v>27.5</v>
      </c>
      <c r="DH66" s="673">
        <f t="shared" si="37"/>
        <v>4.8395362860053055</v>
      </c>
      <c r="DI66" s="673">
        <f t="shared" si="38"/>
        <v>2</v>
      </c>
      <c r="DJ66" s="766" t="b">
        <f t="shared" si="39"/>
        <v>0</v>
      </c>
      <c r="DK66" s="673"/>
      <c r="DL66" s="766">
        <f t="shared" si="40"/>
        <v>4.8395362860053055</v>
      </c>
      <c r="DM66" s="766">
        <f t="shared" si="41"/>
        <v>4.6706923004423528E-2</v>
      </c>
      <c r="DN66" s="766">
        <f t="shared" si="42"/>
        <v>3.1239435412916813E-3</v>
      </c>
      <c r="DO66" s="766">
        <f t="shared" si="43"/>
        <v>5.1689941802894834</v>
      </c>
      <c r="DP66" s="766">
        <f t="shared" si="44"/>
        <v>2.5804358070767162</v>
      </c>
      <c r="DQ66" s="766">
        <f t="shared" si="45"/>
        <v>4.3021414090058894</v>
      </c>
      <c r="DR66" s="766">
        <f t="shared" si="46"/>
        <v>8.4596851828310857</v>
      </c>
      <c r="DS66" s="766">
        <f t="shared" si="47"/>
        <v>2.3990429302027518</v>
      </c>
      <c r="DT66" s="766">
        <f t="shared" si="48"/>
        <v>3.416255576924188</v>
      </c>
      <c r="DU66" s="766">
        <f t="shared" si="49"/>
        <v>58.383653755529409</v>
      </c>
      <c r="DV66" s="766">
        <f t="shared" si="50"/>
        <v>9.464371343157497</v>
      </c>
      <c r="DW66" s="766">
        <f t="shared" si="51"/>
        <v>24.30474813963847</v>
      </c>
      <c r="DX66" s="766">
        <f t="shared" si="52"/>
        <v>11.047612790744758</v>
      </c>
      <c r="DY66" s="766">
        <f t="shared" si="53"/>
        <v>4.8395362860053055</v>
      </c>
      <c r="DZ66" s="766">
        <f t="shared" si="54"/>
        <v>3.6413704259567394</v>
      </c>
      <c r="EB66" s="755"/>
      <c r="EC66" s="755"/>
      <c r="ED66" s="755"/>
      <c r="EE66" s="755"/>
      <c r="EF66" s="755" t="b">
        <f t="shared" si="98"/>
        <v>0</v>
      </c>
      <c r="EG66" s="755">
        <f t="shared" si="55"/>
        <v>24.560876197581425</v>
      </c>
      <c r="EH66" s="755">
        <v>45</v>
      </c>
      <c r="EI66" s="755">
        <f t="shared" si="103"/>
        <v>29.5</v>
      </c>
      <c r="EJ66" s="673">
        <f t="shared" si="56"/>
        <v>4.9391238024185737</v>
      </c>
      <c r="EK66" s="673">
        <f t="shared" si="57"/>
        <v>2.2510196371999172</v>
      </c>
      <c r="EL66" s="755" t="b">
        <f t="shared" si="58"/>
        <v>0</v>
      </c>
      <c r="EM66" s="673"/>
      <c r="EN66" s="755">
        <f t="shared" si="59"/>
        <v>4.9391238024185737</v>
      </c>
      <c r="EO66" s="755">
        <f t="shared" si="60"/>
        <v>4.3601529254921605E-2</v>
      </c>
      <c r="EP66" s="755">
        <f t="shared" si="61"/>
        <v>2.9162425384659267E-3</v>
      </c>
      <c r="EQ66" s="755">
        <f t="shared" si="62"/>
        <v>5.1953120762775091</v>
      </c>
      <c r="ER66" s="755">
        <f t="shared" si="63"/>
        <v>2.5868666425834861</v>
      </c>
      <c r="ES66" s="755">
        <f t="shared" si="64"/>
        <v>4.376778468120512</v>
      </c>
      <c r="ET66" s="755">
        <f t="shared" si="65"/>
        <v>8.606450703313584</v>
      </c>
      <c r="EU66" s="755">
        <f t="shared" si="66"/>
        <v>2.4210360735221341</v>
      </c>
      <c r="EV66" s="755">
        <f t="shared" si="67"/>
        <v>3.4467119665761357</v>
      </c>
      <c r="EW66" s="755">
        <f t="shared" si="68"/>
        <v>54.501911568652005</v>
      </c>
      <c r="EX66" s="755">
        <f t="shared" si="69"/>
        <v>8.835115598581412</v>
      </c>
      <c r="EY66" s="755">
        <f t="shared" si="99"/>
        <v>26.035784051584891</v>
      </c>
      <c r="EZ66" s="755">
        <f t="shared" si="70"/>
        <v>11.834447296174949</v>
      </c>
      <c r="FA66" s="755">
        <f t="shared" si="71"/>
        <v>4.9391238024185737</v>
      </c>
      <c r="FB66" s="755">
        <f t="shared" si="72"/>
        <v>3.6830634807105405</v>
      </c>
      <c r="FC66" s="755"/>
      <c r="FD66" s="755"/>
      <c r="FE66" s="755"/>
      <c r="FF66" s="755"/>
      <c r="FG66" s="755"/>
      <c r="FH66" s="755"/>
      <c r="FI66" s="755"/>
      <c r="FJ66" s="755"/>
      <c r="FK66" s="755" t="b">
        <f t="shared" si="100"/>
        <v>0</v>
      </c>
      <c r="FL66" s="755">
        <f t="shared" si="73"/>
        <v>23.85862957404326</v>
      </c>
      <c r="FM66" s="755">
        <v>45</v>
      </c>
      <c r="FN66" s="767">
        <f t="shared" si="101"/>
        <v>27.5</v>
      </c>
      <c r="FO66" s="673">
        <f t="shared" si="74"/>
        <v>3.6413704259567394</v>
      </c>
      <c r="FP66" s="673">
        <f t="shared" si="75"/>
        <v>2.2510196371999172</v>
      </c>
      <c r="FQ66" s="766" t="b">
        <f t="shared" si="76"/>
        <v>0</v>
      </c>
      <c r="FR66" s="673"/>
      <c r="FS66" s="767">
        <f t="shared" si="77"/>
        <v>3.6413704259567394</v>
      </c>
      <c r="FT66" s="766">
        <f t="shared" si="78"/>
        <v>4.6706923004423528E-2</v>
      </c>
      <c r="FU66" s="766">
        <f t="shared" si="79"/>
        <v>3.1239435412916813E-3</v>
      </c>
      <c r="FV66" s="766">
        <f t="shared" si="80"/>
        <v>5.1689941802894834</v>
      </c>
      <c r="FW66" s="766">
        <f t="shared" si="81"/>
        <v>2.5804358070767162</v>
      </c>
      <c r="FX66" s="766">
        <f t="shared" si="82"/>
        <v>4.8421023968415886</v>
      </c>
      <c r="FY66" s="766">
        <f t="shared" si="83"/>
        <v>9.521458735540973</v>
      </c>
      <c r="FZ66" s="766">
        <f t="shared" si="84"/>
        <v>2.3990429302027518</v>
      </c>
      <c r="GA66" s="766">
        <f t="shared" si="85"/>
        <v>3.416255576924188</v>
      </c>
      <c r="GB66" s="766">
        <f t="shared" si="86"/>
        <v>58.383653755529409</v>
      </c>
      <c r="GC66" s="766">
        <f t="shared" si="87"/>
        <v>9.464371343157497</v>
      </c>
      <c r="GD66" s="766">
        <f t="shared" si="88"/>
        <v>24.30474813963847</v>
      </c>
      <c r="GE66" s="766">
        <f t="shared" si="89"/>
        <v>11.047612790744758</v>
      </c>
      <c r="GF66" s="766">
        <f t="shared" si="90"/>
        <v>5.5553308612359462</v>
      </c>
      <c r="GG66" s="766">
        <f t="shared" si="91"/>
        <v>3.6413704259567394</v>
      </c>
    </row>
    <row r="67" spans="1:189" ht="15.5">
      <c r="B67" s="292">
        <v>7</v>
      </c>
      <c r="C67" s="675"/>
      <c r="D67" s="675"/>
      <c r="E67" s="675"/>
      <c r="F67" s="675"/>
      <c r="G67" s="675"/>
      <c r="H67" s="676"/>
      <c r="I67" s="677"/>
      <c r="J67" s="677"/>
      <c r="K67" s="677"/>
      <c r="L67" s="304" t="str">
        <f t="shared" si="134"/>
        <v/>
      </c>
      <c r="M67" s="413" t="str">
        <f t="shared" si="135"/>
        <v/>
      </c>
      <c r="N67" s="296" t="str">
        <f t="shared" si="136"/>
        <v/>
      </c>
      <c r="O67" s="1056" t="s">
        <v>925</v>
      </c>
      <c r="P67" s="1057"/>
      <c r="Q67" s="1058"/>
      <c r="R67" s="782">
        <f>IF(ISNUMBER(AY88),AY88,"")</f>
        <v>8.7879526173972842</v>
      </c>
      <c r="S67" s="818"/>
      <c r="T67" s="819"/>
      <c r="U67" s="756" t="s">
        <v>751</v>
      </c>
      <c r="V67" s="757"/>
      <c r="W67" s="808">
        <f t="shared" si="124"/>
        <v>34.593716345159123</v>
      </c>
      <c r="X67" s="854">
        <f t="shared" si="141"/>
        <v>46.191672156404245</v>
      </c>
      <c r="Y67" s="854" t="str">
        <f t="shared" si="142"/>
        <v>ESP 0.9m adj i+r</v>
      </c>
      <c r="Z67" s="855">
        <f t="shared" si="143"/>
        <v>50.64330653022634</v>
      </c>
      <c r="AA67" s="161"/>
      <c r="AB67" s="161"/>
      <c r="AC67" s="161"/>
      <c r="AD67" s="161"/>
      <c r="AE67" s="161"/>
      <c r="AF67" s="161"/>
      <c r="AG67" s="161"/>
      <c r="AH67" s="161"/>
      <c r="AI67" s="161"/>
      <c r="AJ67" s="161"/>
      <c r="AK67" s="168"/>
      <c r="AL67" s="161"/>
      <c r="AM67" s="161"/>
      <c r="AN67" s="160" t="str">
        <f t="shared" si="128"/>
        <v/>
      </c>
      <c r="AO67" s="160" t="str">
        <f t="shared" si="129"/>
        <v/>
      </c>
      <c r="AP67" s="160" t="str">
        <f t="shared" si="130"/>
        <v/>
      </c>
      <c r="AQ67" s="46">
        <f>AVERAGE(D61:D67)</f>
        <v>43.6</v>
      </c>
      <c r="AR67" s="46">
        <f>AVERAGE(E61:E67)</f>
        <v>27.560000000000002</v>
      </c>
      <c r="AS67" s="46">
        <f>AVERAGE(AT61:AT67)</f>
        <v>6.26</v>
      </c>
      <c r="AT67" s="617" t="str">
        <f t="shared" si="131"/>
        <v/>
      </c>
      <c r="AU67" s="59">
        <f t="shared" si="132"/>
        <v>0</v>
      </c>
      <c r="AV67" s="59" t="str">
        <f t="shared" si="133"/>
        <v/>
      </c>
      <c r="AW67" s="730" t="str">
        <f t="shared" si="137"/>
        <v>No Data</v>
      </c>
      <c r="AX67" s="737">
        <f t="shared" si="138"/>
        <v>0</v>
      </c>
      <c r="AY67" s="737" t="str">
        <f t="shared" si="139"/>
        <v/>
      </c>
      <c r="BY67" s="753" t="b">
        <f t="shared" si="94"/>
        <v>0</v>
      </c>
      <c r="BZ67" s="753">
        <f t="shared" si="19"/>
        <v>25.036810743667694</v>
      </c>
      <c r="CA67" s="751">
        <v>46</v>
      </c>
      <c r="CB67" s="752">
        <f t="shared" si="102"/>
        <v>30</v>
      </c>
      <c r="CC67" s="673">
        <f t="shared" si="20"/>
        <v>4.9631892563323072</v>
      </c>
      <c r="CD67" s="91">
        <f t="shared" si="9"/>
        <v>2</v>
      </c>
      <c r="CE67" s="752" t="b">
        <f t="shared" si="21"/>
        <v>0</v>
      </c>
      <c r="CF67" s="673"/>
      <c r="CG67" s="752">
        <f t="shared" si="22"/>
        <v>4.9631892563323072</v>
      </c>
      <c r="CH67" s="752">
        <f t="shared" si="23"/>
        <v>4.2889251572393448E-2</v>
      </c>
      <c r="CI67" s="752">
        <f t="shared" si="24"/>
        <v>2.8686025929758477E-3</v>
      </c>
      <c r="CJ67" s="755">
        <f t="shared" si="25"/>
        <v>5.2013978072967655</v>
      </c>
      <c r="CK67" s="755">
        <f t="shared" si="26"/>
        <v>2.5883484607261544</v>
      </c>
      <c r="CL67" s="755">
        <f t="shared" si="27"/>
        <v>4.3948380782498617</v>
      </c>
      <c r="CM67" s="755">
        <f t="shared" si="28"/>
        <v>8.6419629288994635</v>
      </c>
      <c r="CN67" s="755">
        <f t="shared" si="29"/>
        <v>2.4263280991743739</v>
      </c>
      <c r="CO67" s="755">
        <f t="shared" si="30"/>
        <v>3.4540411711605556</v>
      </c>
      <c r="CP67" s="755">
        <f t="shared" si="31"/>
        <v>53.61156446549181</v>
      </c>
      <c r="CQ67" s="755">
        <f t="shared" si="32"/>
        <v>8.69078452187461</v>
      </c>
      <c r="CR67" s="755">
        <f t="shared" si="95"/>
        <v>26.46816995824415</v>
      </c>
      <c r="CS67" s="755">
        <f t="shared" si="33"/>
        <v>12.030986344656432</v>
      </c>
      <c r="CT67" s="755">
        <f t="shared" si="34"/>
        <v>4.9631892563323072</v>
      </c>
      <c r="CU67" s="755">
        <f t="shared" si="35"/>
        <v>3.6930913570192376</v>
      </c>
      <c r="CX67" s="755"/>
      <c r="CY67" s="755"/>
      <c r="CZ67" s="755"/>
      <c r="DA67" s="755"/>
      <c r="DB67" s="755"/>
      <c r="DC67" s="755"/>
      <c r="DD67" s="755" t="b">
        <f t="shared" si="96"/>
        <v>0</v>
      </c>
      <c r="DE67" s="755">
        <f t="shared" si="36"/>
        <v>22.186245523030472</v>
      </c>
      <c r="DF67" s="755">
        <v>46</v>
      </c>
      <c r="DG67" s="755">
        <f t="shared" si="97"/>
        <v>27</v>
      </c>
      <c r="DH67" s="673">
        <f t="shared" si="37"/>
        <v>4.8137544769695273</v>
      </c>
      <c r="DI67" s="673">
        <f t="shared" si="38"/>
        <v>2</v>
      </c>
      <c r="DJ67" s="766" t="b">
        <f t="shared" si="39"/>
        <v>0</v>
      </c>
      <c r="DK67" s="673"/>
      <c r="DL67" s="766">
        <f t="shared" si="40"/>
        <v>4.8137544769695273</v>
      </c>
      <c r="DM67" s="766">
        <f t="shared" si="41"/>
        <v>4.7554411170707703E-2</v>
      </c>
      <c r="DN67" s="766">
        <f t="shared" si="42"/>
        <v>3.1806268981279654E-3</v>
      </c>
      <c r="DO67" s="766">
        <f t="shared" si="43"/>
        <v>5.1618718344350896</v>
      </c>
      <c r="DP67" s="766">
        <f t="shared" si="44"/>
        <v>2.5786890918974303</v>
      </c>
      <c r="DQ67" s="766">
        <f t="shared" si="45"/>
        <v>4.2828443724205298</v>
      </c>
      <c r="DR67" s="766">
        <f t="shared" si="46"/>
        <v>8.4217396950021683</v>
      </c>
      <c r="DS67" s="766">
        <f t="shared" si="47"/>
        <v>2.3933242743381085</v>
      </c>
      <c r="DT67" s="766">
        <f t="shared" si="48"/>
        <v>3.4083371255504669</v>
      </c>
      <c r="DU67" s="766">
        <f t="shared" si="49"/>
        <v>59.44301396338463</v>
      </c>
      <c r="DV67" s="766">
        <f t="shared" si="50"/>
        <v>9.6361005472818064</v>
      </c>
      <c r="DW67" s="766">
        <f t="shared" si="51"/>
        <v>23.871602487620624</v>
      </c>
      <c r="DX67" s="766">
        <f t="shared" si="52"/>
        <v>10.850728403463918</v>
      </c>
      <c r="DY67" s="766">
        <f t="shared" si="53"/>
        <v>4.8137544769695273</v>
      </c>
      <c r="DZ67" s="766">
        <f t="shared" si="54"/>
        <v>3.630524606168346</v>
      </c>
      <c r="EB67" s="755"/>
      <c r="EC67" s="755"/>
      <c r="ED67" s="755"/>
      <c r="EE67" s="755"/>
      <c r="EF67" s="755" t="b">
        <f t="shared" si="98"/>
        <v>0</v>
      </c>
      <c r="EG67" s="755">
        <f t="shared" si="55"/>
        <v>25.036810743667694</v>
      </c>
      <c r="EH67" s="755">
        <v>46</v>
      </c>
      <c r="EI67" s="755">
        <f t="shared" si="103"/>
        <v>30</v>
      </c>
      <c r="EJ67" s="673">
        <f t="shared" si="56"/>
        <v>4.9631892563323072</v>
      </c>
      <c r="EK67" s="673">
        <f t="shared" si="57"/>
        <v>2.2510196371999172</v>
      </c>
      <c r="EL67" s="755" t="b">
        <f t="shared" si="58"/>
        <v>0</v>
      </c>
      <c r="EM67" s="673"/>
      <c r="EN67" s="755">
        <f t="shared" si="59"/>
        <v>4.9631892563323072</v>
      </c>
      <c r="EO67" s="755">
        <f t="shared" si="60"/>
        <v>4.2889251572393448E-2</v>
      </c>
      <c r="EP67" s="755">
        <f t="shared" si="61"/>
        <v>2.8686025929758477E-3</v>
      </c>
      <c r="EQ67" s="755">
        <f t="shared" si="62"/>
        <v>5.2013978072967655</v>
      </c>
      <c r="ER67" s="755">
        <f t="shared" si="63"/>
        <v>2.5883484607261544</v>
      </c>
      <c r="ES67" s="755">
        <f t="shared" si="64"/>
        <v>4.3948380782498617</v>
      </c>
      <c r="ET67" s="755">
        <f t="shared" si="65"/>
        <v>8.6419629288994635</v>
      </c>
      <c r="EU67" s="755">
        <f t="shared" si="66"/>
        <v>2.4263280991743739</v>
      </c>
      <c r="EV67" s="755">
        <f t="shared" si="67"/>
        <v>3.4540411711605556</v>
      </c>
      <c r="EW67" s="755">
        <f t="shared" si="68"/>
        <v>53.61156446549181</v>
      </c>
      <c r="EX67" s="755">
        <f t="shared" si="69"/>
        <v>8.69078452187461</v>
      </c>
      <c r="EY67" s="755">
        <f t="shared" si="99"/>
        <v>26.46816995824415</v>
      </c>
      <c r="EZ67" s="755">
        <f t="shared" si="70"/>
        <v>12.030986344656432</v>
      </c>
      <c r="FA67" s="755">
        <f t="shared" si="71"/>
        <v>4.9631892563323072</v>
      </c>
      <c r="FB67" s="755">
        <f t="shared" si="72"/>
        <v>3.6930913570192376</v>
      </c>
      <c r="FC67" s="755"/>
      <c r="FD67" s="755"/>
      <c r="FE67" s="755"/>
      <c r="FF67" s="755"/>
      <c r="FG67" s="755"/>
      <c r="FH67" s="755"/>
      <c r="FI67" s="755"/>
      <c r="FJ67" s="755"/>
      <c r="FK67" s="755" t="b">
        <f t="shared" si="100"/>
        <v>0</v>
      </c>
      <c r="FL67" s="755">
        <f t="shared" si="73"/>
        <v>23.369475393831653</v>
      </c>
      <c r="FM67" s="755">
        <v>46</v>
      </c>
      <c r="FN67" s="767">
        <f t="shared" si="101"/>
        <v>27</v>
      </c>
      <c r="FO67" s="673">
        <f t="shared" si="74"/>
        <v>3.630524606168346</v>
      </c>
      <c r="FP67" s="673">
        <f t="shared" si="75"/>
        <v>2.2510196371999172</v>
      </c>
      <c r="FQ67" s="766" t="b">
        <f t="shared" si="76"/>
        <v>0</v>
      </c>
      <c r="FR67" s="673"/>
      <c r="FS67" s="767">
        <f t="shared" si="77"/>
        <v>3.630524606168346</v>
      </c>
      <c r="FT67" s="766">
        <f t="shared" si="78"/>
        <v>4.7554411170707703E-2</v>
      </c>
      <c r="FU67" s="766">
        <f t="shared" si="79"/>
        <v>3.1806268981279654E-3</v>
      </c>
      <c r="FV67" s="766">
        <f t="shared" si="80"/>
        <v>5.1618718344350896</v>
      </c>
      <c r="FW67" s="766">
        <f t="shared" si="81"/>
        <v>2.5786890918974303</v>
      </c>
      <c r="FX67" s="766">
        <f t="shared" si="82"/>
        <v>4.8203833926948843</v>
      </c>
      <c r="FY67" s="766">
        <f t="shared" si="83"/>
        <v>9.4787507164179612</v>
      </c>
      <c r="FZ67" s="766">
        <f t="shared" si="84"/>
        <v>2.3933242743381085</v>
      </c>
      <c r="GA67" s="766">
        <f t="shared" si="85"/>
        <v>3.4083371255504669</v>
      </c>
      <c r="GB67" s="766">
        <f t="shared" si="86"/>
        <v>59.44301396338463</v>
      </c>
      <c r="GC67" s="766">
        <f t="shared" si="87"/>
        <v>9.6361005472818064</v>
      </c>
      <c r="GD67" s="766">
        <f t="shared" si="88"/>
        <v>23.871602487620624</v>
      </c>
      <c r="GE67" s="766">
        <f t="shared" si="89"/>
        <v>10.850728403463918</v>
      </c>
      <c r="GF67" s="766">
        <f t="shared" si="90"/>
        <v>5.5267471742768555</v>
      </c>
      <c r="GG67" s="766">
        <f t="shared" si="91"/>
        <v>3.630524606168346</v>
      </c>
    </row>
    <row r="68" spans="1:189" ht="17.399999999999999" customHeight="1" thickBot="1">
      <c r="B68" s="292">
        <v>8</v>
      </c>
      <c r="C68" s="675"/>
      <c r="D68" s="675"/>
      <c r="E68" s="675"/>
      <c r="F68" s="675"/>
      <c r="G68" s="675"/>
      <c r="H68" s="676"/>
      <c r="I68" s="677"/>
      <c r="J68" s="677"/>
      <c r="K68" s="677"/>
      <c r="L68" s="304" t="str">
        <f t="shared" si="134"/>
        <v/>
      </c>
      <c r="M68" s="413" t="str">
        <f t="shared" si="135"/>
        <v/>
      </c>
      <c r="N68" s="296" t="str">
        <f t="shared" si="136"/>
        <v/>
      </c>
      <c r="O68" s="1073" t="s">
        <v>926</v>
      </c>
      <c r="P68" s="1074"/>
      <c r="Q68" s="1075"/>
      <c r="R68" s="783">
        <f>IF(ISNUMBER(AY89),AY89,"")</f>
        <v>7.7077942839928051</v>
      </c>
      <c r="S68" s="822"/>
      <c r="T68" s="823"/>
      <c r="U68" s="758" t="s">
        <v>917</v>
      </c>
      <c r="V68" s="759"/>
      <c r="W68" s="809">
        <f t="shared" si="124"/>
        <v>36.76853370260222</v>
      </c>
      <c r="X68" s="854">
        <f t="shared" si="141"/>
        <v>43.296868941675889</v>
      </c>
      <c r="Y68" s="854" t="str">
        <f t="shared" si="142"/>
        <v>ESP 0.9m i+r adj Ca</v>
      </c>
      <c r="Z68" s="855">
        <f t="shared" si="143"/>
        <v>43.045176810273531</v>
      </c>
      <c r="AA68" s="161"/>
      <c r="AB68" s="161"/>
      <c r="AC68" s="161"/>
      <c r="AD68" s="161"/>
      <c r="AE68" s="161"/>
      <c r="AF68" s="161"/>
      <c r="AG68" s="161"/>
      <c r="AH68" s="161"/>
      <c r="AI68" s="161"/>
      <c r="AJ68" s="161"/>
      <c r="AK68" s="168"/>
      <c r="AL68" s="161"/>
      <c r="AM68" s="161"/>
      <c r="AN68" s="160" t="str">
        <f t="shared" si="128"/>
        <v/>
      </c>
      <c r="AO68" s="160" t="str">
        <f t="shared" si="129"/>
        <v/>
      </c>
      <c r="AP68" s="160" t="str">
        <f t="shared" si="130"/>
        <v/>
      </c>
      <c r="AQ68" s="46">
        <f>AVERAGE(D61:D68)</f>
        <v>43.6</v>
      </c>
      <c r="AR68" s="46">
        <f>AVERAGE(E61:E68)</f>
        <v>27.560000000000002</v>
      </c>
      <c r="AS68" s="46">
        <f>AVERAGE(AT61:AT68)</f>
        <v>6.26</v>
      </c>
      <c r="AT68" s="617" t="str">
        <f t="shared" si="131"/>
        <v/>
      </c>
      <c r="AU68" s="59">
        <f t="shared" si="132"/>
        <v>0</v>
      </c>
      <c r="AV68" s="59" t="str">
        <f t="shared" si="133"/>
        <v/>
      </c>
      <c r="AW68" s="730" t="str">
        <f t="shared" si="137"/>
        <v>No Data</v>
      </c>
      <c r="AX68" s="737">
        <f t="shared" si="138"/>
        <v>0</v>
      </c>
      <c r="AY68" s="737" t="str">
        <f t="shared" si="139"/>
        <v/>
      </c>
      <c r="BY68" s="753" t="b">
        <f t="shared" si="94"/>
        <v>0</v>
      </c>
      <c r="BZ68" s="753">
        <f t="shared" si="19"/>
        <v>25.513058189301333</v>
      </c>
      <c r="CA68" s="751">
        <v>47</v>
      </c>
      <c r="CB68" s="752">
        <f t="shared" si="102"/>
        <v>30.5</v>
      </c>
      <c r="CC68" s="673">
        <f t="shared" si="20"/>
        <v>4.986941810698668</v>
      </c>
      <c r="CD68" s="91">
        <f t="shared" si="9"/>
        <v>2</v>
      </c>
      <c r="CE68" s="752" t="b">
        <f t="shared" si="21"/>
        <v>0</v>
      </c>
      <c r="CF68" s="673"/>
      <c r="CG68" s="752">
        <f t="shared" si="22"/>
        <v>4.986941810698668</v>
      </c>
      <c r="CH68" s="752">
        <f t="shared" si="23"/>
        <v>4.2200097544984279E-2</v>
      </c>
      <c r="CI68" s="752">
        <f t="shared" si="24"/>
        <v>2.8225092488975805E-3</v>
      </c>
      <c r="CJ68" s="755">
        <f t="shared" si="25"/>
        <v>5.207303642960583</v>
      </c>
      <c r="CK68" s="755">
        <f t="shared" si="26"/>
        <v>2.5897845990616828</v>
      </c>
      <c r="CL68" s="755">
        <f t="shared" si="27"/>
        <v>4.4126718477753792</v>
      </c>
      <c r="CM68" s="755">
        <f t="shared" si="28"/>
        <v>8.6770310639201345</v>
      </c>
      <c r="CN68" s="755">
        <f t="shared" si="29"/>
        <v>2.4315427904668683</v>
      </c>
      <c r="CO68" s="755">
        <f t="shared" si="30"/>
        <v>3.4612635495652544</v>
      </c>
      <c r="CP68" s="755">
        <f t="shared" si="31"/>
        <v>52.750121931230346</v>
      </c>
      <c r="CQ68" s="755">
        <f t="shared" si="32"/>
        <v>8.5511390644460583</v>
      </c>
      <c r="CR68" s="755">
        <f t="shared" si="95"/>
        <v>26.900411753548777</v>
      </c>
      <c r="CS68" s="755">
        <f t="shared" si="33"/>
        <v>12.227459887976716</v>
      </c>
      <c r="CT68" s="755">
        <f t="shared" si="34"/>
        <v>4.986941810698668</v>
      </c>
      <c r="CU68" s="755">
        <f t="shared" si="35"/>
        <v>3.7029710304632193</v>
      </c>
      <c r="CX68" s="755"/>
      <c r="CY68" s="755"/>
      <c r="CZ68" s="755"/>
      <c r="DA68" s="755"/>
      <c r="DB68" s="755"/>
      <c r="DC68" s="755"/>
      <c r="DD68" s="755" t="b">
        <f t="shared" si="96"/>
        <v>0</v>
      </c>
      <c r="DE68" s="755">
        <f t="shared" si="36"/>
        <v>21.712404630953756</v>
      </c>
      <c r="DF68" s="755">
        <v>47</v>
      </c>
      <c r="DG68" s="755">
        <f t="shared" si="97"/>
        <v>26.5</v>
      </c>
      <c r="DH68" s="673">
        <f t="shared" si="37"/>
        <v>4.7875953690462456</v>
      </c>
      <c r="DI68" s="673">
        <f t="shared" si="38"/>
        <v>2</v>
      </c>
      <c r="DJ68" s="766" t="b">
        <f t="shared" si="39"/>
        <v>0</v>
      </c>
      <c r="DK68" s="673"/>
      <c r="DL68" s="766">
        <f t="shared" si="40"/>
        <v>4.7875953690462456</v>
      </c>
      <c r="DM68" s="766">
        <f t="shared" si="41"/>
        <v>4.8433554297962408E-2</v>
      </c>
      <c r="DN68" s="766">
        <f t="shared" si="42"/>
        <v>3.2394274638170863E-3</v>
      </c>
      <c r="DO68" s="766">
        <f t="shared" si="43"/>
        <v>5.1545103604217113</v>
      </c>
      <c r="DP68" s="766">
        <f t="shared" si="44"/>
        <v>2.5768808773470075</v>
      </c>
      <c r="DQ68" s="766">
        <f t="shared" si="45"/>
        <v>4.2632756181996641</v>
      </c>
      <c r="DR68" s="766">
        <f t="shared" si="46"/>
        <v>8.3832599045001217</v>
      </c>
      <c r="DS68" s="766">
        <f t="shared" si="47"/>
        <v>2.3875112975563879</v>
      </c>
      <c r="DT68" s="766">
        <f t="shared" si="48"/>
        <v>3.4002884192770364</v>
      </c>
      <c r="DU68" s="766">
        <f t="shared" si="49"/>
        <v>60.541942872453014</v>
      </c>
      <c r="DV68" s="766">
        <f t="shared" si="50"/>
        <v>9.8142440961371928</v>
      </c>
      <c r="DW68" s="766">
        <f t="shared" si="51"/>
        <v>23.438296372309757</v>
      </c>
      <c r="DX68" s="766">
        <f t="shared" si="52"/>
        <v>10.653771078322617</v>
      </c>
      <c r="DY68" s="766">
        <f t="shared" si="53"/>
        <v>4.7875953690462456</v>
      </c>
      <c r="DZ68" s="766">
        <f t="shared" si="54"/>
        <v>3.6194978752083875</v>
      </c>
      <c r="EB68" s="755"/>
      <c r="EC68" s="755"/>
      <c r="ED68" s="755"/>
      <c r="EE68" s="755"/>
      <c r="EF68" s="755" t="b">
        <f t="shared" si="98"/>
        <v>0</v>
      </c>
      <c r="EG68" s="755">
        <f t="shared" si="55"/>
        <v>25.513058189301333</v>
      </c>
      <c r="EH68" s="755">
        <v>47</v>
      </c>
      <c r="EI68" s="755">
        <f t="shared" si="103"/>
        <v>30.5</v>
      </c>
      <c r="EJ68" s="673">
        <f t="shared" si="56"/>
        <v>4.986941810698668</v>
      </c>
      <c r="EK68" s="673">
        <f t="shared" si="57"/>
        <v>2.2510196371999172</v>
      </c>
      <c r="EL68" s="755" t="b">
        <f t="shared" si="58"/>
        <v>0</v>
      </c>
      <c r="EM68" s="673"/>
      <c r="EN68" s="755">
        <f t="shared" si="59"/>
        <v>4.986941810698668</v>
      </c>
      <c r="EO68" s="755">
        <f t="shared" si="60"/>
        <v>4.2200097544984279E-2</v>
      </c>
      <c r="EP68" s="755">
        <f t="shared" si="61"/>
        <v>2.8225092488975805E-3</v>
      </c>
      <c r="EQ68" s="755">
        <f t="shared" si="62"/>
        <v>5.207303642960583</v>
      </c>
      <c r="ER68" s="755">
        <f t="shared" si="63"/>
        <v>2.5897845990616828</v>
      </c>
      <c r="ES68" s="755">
        <f t="shared" si="64"/>
        <v>4.4126718477753792</v>
      </c>
      <c r="ET68" s="755">
        <f t="shared" si="65"/>
        <v>8.6770310639201345</v>
      </c>
      <c r="EU68" s="755">
        <f t="shared" si="66"/>
        <v>2.4315427904668683</v>
      </c>
      <c r="EV68" s="755">
        <f t="shared" si="67"/>
        <v>3.4612635495652544</v>
      </c>
      <c r="EW68" s="755">
        <f t="shared" si="68"/>
        <v>52.750121931230346</v>
      </c>
      <c r="EX68" s="755">
        <f t="shared" si="69"/>
        <v>8.5511390644460583</v>
      </c>
      <c r="EY68" s="755">
        <f t="shared" si="99"/>
        <v>26.900411753548777</v>
      </c>
      <c r="EZ68" s="755">
        <f t="shared" si="70"/>
        <v>12.227459887976716</v>
      </c>
      <c r="FA68" s="755">
        <f t="shared" si="71"/>
        <v>4.986941810698668</v>
      </c>
      <c r="FB68" s="755">
        <f t="shared" si="72"/>
        <v>3.7029710304632193</v>
      </c>
      <c r="FC68" s="755"/>
      <c r="FD68" s="755"/>
      <c r="FE68" s="755"/>
      <c r="FF68" s="755"/>
      <c r="FG68" s="755"/>
      <c r="FH68" s="755"/>
      <c r="FI68" s="755"/>
      <c r="FJ68" s="755"/>
      <c r="FK68" s="755" t="b">
        <f t="shared" si="100"/>
        <v>0</v>
      </c>
      <c r="FL68" s="755">
        <f t="shared" si="73"/>
        <v>22.880502124791612</v>
      </c>
      <c r="FM68" s="755">
        <v>47</v>
      </c>
      <c r="FN68" s="767">
        <f t="shared" si="101"/>
        <v>26.5</v>
      </c>
      <c r="FO68" s="673">
        <f t="shared" si="74"/>
        <v>3.6194978752083875</v>
      </c>
      <c r="FP68" s="673">
        <f t="shared" si="75"/>
        <v>2.2510196371999172</v>
      </c>
      <c r="FQ68" s="766" t="b">
        <f t="shared" si="76"/>
        <v>0</v>
      </c>
      <c r="FR68" s="673"/>
      <c r="FS68" s="767">
        <f t="shared" si="77"/>
        <v>3.6194978752083875</v>
      </c>
      <c r="FT68" s="766">
        <f t="shared" si="78"/>
        <v>4.8433554297962408E-2</v>
      </c>
      <c r="FU68" s="766">
        <f t="shared" si="79"/>
        <v>3.2394274638170863E-3</v>
      </c>
      <c r="FV68" s="766">
        <f t="shared" si="80"/>
        <v>5.1545103604217113</v>
      </c>
      <c r="FW68" s="766">
        <f t="shared" si="81"/>
        <v>2.5768808773470075</v>
      </c>
      <c r="FX68" s="766">
        <f t="shared" si="82"/>
        <v>4.7983585676815306</v>
      </c>
      <c r="FY68" s="766">
        <f t="shared" si="83"/>
        <v>9.4354413343902372</v>
      </c>
      <c r="FZ68" s="766">
        <f t="shared" si="84"/>
        <v>2.3875112975563879</v>
      </c>
      <c r="GA68" s="766">
        <f t="shared" si="85"/>
        <v>3.4002884192770364</v>
      </c>
      <c r="GB68" s="766">
        <f t="shared" si="86"/>
        <v>60.541942872453014</v>
      </c>
      <c r="GC68" s="766">
        <f t="shared" si="87"/>
        <v>9.8142440961371928</v>
      </c>
      <c r="GD68" s="766">
        <f t="shared" si="88"/>
        <v>23.438296372309757</v>
      </c>
      <c r="GE68" s="766">
        <f t="shared" si="89"/>
        <v>10.653771078322617</v>
      </c>
      <c r="GF68" s="766">
        <f t="shared" si="90"/>
        <v>5.497743331969966</v>
      </c>
      <c r="GG68" s="766">
        <f t="shared" si="91"/>
        <v>3.6194978752083875</v>
      </c>
    </row>
    <row r="69" spans="1:189" ht="16" thickTop="1">
      <c r="B69" s="292">
        <v>9</v>
      </c>
      <c r="C69" s="675"/>
      <c r="D69" s="675"/>
      <c r="E69" s="675"/>
      <c r="F69" s="675"/>
      <c r="G69" s="675"/>
      <c r="H69" s="676"/>
      <c r="I69" s="677"/>
      <c r="J69" s="677"/>
      <c r="K69" s="675"/>
      <c r="L69" s="304" t="str">
        <f t="shared" si="134"/>
        <v/>
      </c>
      <c r="M69" s="413" t="str">
        <f t="shared" si="135"/>
        <v/>
      </c>
      <c r="N69" s="291" t="str">
        <f t="shared" si="136"/>
        <v/>
      </c>
      <c r="O69" s="1079"/>
      <c r="P69" s="1080"/>
      <c r="Q69" s="1080"/>
      <c r="R69" s="785" t="s">
        <v>929</v>
      </c>
      <c r="S69" s="1076" t="s">
        <v>1052</v>
      </c>
      <c r="T69" s="1076"/>
      <c r="U69" s="785" t="s">
        <v>1422</v>
      </c>
      <c r="V69" s="786" t="s">
        <v>1423</v>
      </c>
      <c r="W69" s="1081" t="s">
        <v>1663</v>
      </c>
      <c r="X69" s="1082"/>
      <c r="Y69" s="1082"/>
      <c r="Z69" s="1082"/>
      <c r="AA69" s="161"/>
      <c r="AB69" s="161"/>
      <c r="AC69" s="161"/>
      <c r="AD69" s="161"/>
      <c r="AE69" s="161"/>
      <c r="AF69" s="161"/>
      <c r="AG69" s="161"/>
      <c r="AH69" s="161"/>
      <c r="AI69" s="161"/>
      <c r="AJ69" s="161"/>
      <c r="AK69" s="168"/>
      <c r="AN69" s="160" t="str">
        <f t="shared" si="128"/>
        <v/>
      </c>
      <c r="AO69" s="160" t="str">
        <f t="shared" si="129"/>
        <v/>
      </c>
      <c r="AP69" s="160" t="str">
        <f t="shared" si="130"/>
        <v/>
      </c>
      <c r="AQ69" s="46">
        <f>AVERAGE(D61:D69)</f>
        <v>43.6</v>
      </c>
      <c r="AR69" s="46">
        <f>AVERAGE(E61:E69)</f>
        <v>27.560000000000002</v>
      </c>
      <c r="AS69" s="46">
        <f>AVERAGE(AT61:AT69)</f>
        <v>6.26</v>
      </c>
      <c r="AT69" s="617" t="str">
        <f t="shared" si="131"/>
        <v/>
      </c>
      <c r="AU69" s="59">
        <f t="shared" si="132"/>
        <v>0</v>
      </c>
      <c r="AV69" s="59" t="str">
        <f t="shared" si="133"/>
        <v/>
      </c>
      <c r="AW69" s="730" t="str">
        <f t="shared" si="137"/>
        <v>No Data</v>
      </c>
      <c r="AX69" s="737">
        <f t="shared" si="138"/>
        <v>0</v>
      </c>
      <c r="AY69" s="737" t="str">
        <f t="shared" si="139"/>
        <v/>
      </c>
      <c r="BY69" s="753" t="b">
        <f t="shared" si="94"/>
        <v>0</v>
      </c>
      <c r="BZ69" s="753">
        <f t="shared" si="19"/>
        <v>25.989609479419414</v>
      </c>
      <c r="CA69" s="751">
        <v>48</v>
      </c>
      <c r="CB69" s="752">
        <f t="shared" si="102"/>
        <v>31</v>
      </c>
      <c r="CC69" s="673">
        <f t="shared" si="20"/>
        <v>5.010390520580585</v>
      </c>
      <c r="CD69" s="91">
        <f t="shared" si="9"/>
        <v>2</v>
      </c>
      <c r="CE69" s="752" t="b">
        <f t="shared" si="21"/>
        <v>0</v>
      </c>
      <c r="CF69" s="673"/>
      <c r="CG69" s="752">
        <f t="shared" si="22"/>
        <v>5.010390520580585</v>
      </c>
      <c r="CH69" s="752">
        <f t="shared" si="23"/>
        <v>4.1532955564141771E-2</v>
      </c>
      <c r="CI69" s="752">
        <f t="shared" si="24"/>
        <v>2.7778881574593776E-3</v>
      </c>
      <c r="CJ69" s="755">
        <f t="shared" si="25"/>
        <v>5.2130374799515264</v>
      </c>
      <c r="CK69" s="755">
        <f t="shared" si="26"/>
        <v>2.5911771458284814</v>
      </c>
      <c r="CL69" s="755">
        <f t="shared" si="27"/>
        <v>4.4302862347765917</v>
      </c>
      <c r="CM69" s="755">
        <f t="shared" si="28"/>
        <v>8.7116678074746066</v>
      </c>
      <c r="CN69" s="755">
        <f t="shared" si="29"/>
        <v>2.4366825192259416</v>
      </c>
      <c r="CO69" s="755">
        <f t="shared" si="30"/>
        <v>3.4683823736849289</v>
      </c>
      <c r="CP69" s="755">
        <f t="shared" si="31"/>
        <v>51.916194455177212</v>
      </c>
      <c r="CQ69" s="755">
        <f t="shared" si="32"/>
        <v>8.4159539775435199</v>
      </c>
      <c r="CR69" s="755">
        <f t="shared" si="95"/>
        <v>27.33251184705226</v>
      </c>
      <c r="CS69" s="755">
        <f t="shared" si="33"/>
        <v>12.423869021387389</v>
      </c>
      <c r="CT69" s="755">
        <f t="shared" si="34"/>
        <v>5.010390520580585</v>
      </c>
      <c r="CU69" s="755">
        <f t="shared" si="35"/>
        <v>3.7127070659594761</v>
      </c>
      <c r="CX69" s="755"/>
      <c r="CY69" s="755"/>
      <c r="CZ69" s="755"/>
      <c r="DA69" s="755"/>
      <c r="DB69" s="755"/>
      <c r="DC69" s="755"/>
      <c r="DD69" s="755" t="b">
        <f t="shared" si="96"/>
        <v>0</v>
      </c>
      <c r="DE69" s="755">
        <f t="shared" si="36"/>
        <v>21.238953773665003</v>
      </c>
      <c r="DF69" s="755">
        <v>48</v>
      </c>
      <c r="DG69" s="755">
        <f t="shared" si="97"/>
        <v>26</v>
      </c>
      <c r="DH69" s="673">
        <f t="shared" si="37"/>
        <v>4.7610462263349982</v>
      </c>
      <c r="DI69" s="673">
        <f t="shared" si="38"/>
        <v>2</v>
      </c>
      <c r="DJ69" s="766" t="b">
        <f t="shared" si="39"/>
        <v>0</v>
      </c>
      <c r="DK69" s="673"/>
      <c r="DL69" s="766">
        <f t="shared" si="40"/>
        <v>4.7610462263349982</v>
      </c>
      <c r="DM69" s="766">
        <f t="shared" si="41"/>
        <v>4.9346166114482885E-2</v>
      </c>
      <c r="DN69" s="766">
        <f t="shared" si="42"/>
        <v>3.3004665476731474E-3</v>
      </c>
      <c r="DO69" s="766">
        <f t="shared" si="43"/>
        <v>5.1468974438871813</v>
      </c>
      <c r="DP69" s="766">
        <f t="shared" si="44"/>
        <v>2.5750078426632985</v>
      </c>
      <c r="DQ69" s="766">
        <f t="shared" si="45"/>
        <v>4.2434260834351996</v>
      </c>
      <c r="DR69" s="766">
        <f t="shared" si="46"/>
        <v>8.3442279901187124</v>
      </c>
      <c r="DS69" s="766">
        <f t="shared" si="47"/>
        <v>2.38160061776132</v>
      </c>
      <c r="DT69" s="766">
        <f t="shared" si="48"/>
        <v>3.39210479410447</v>
      </c>
      <c r="DU69" s="766">
        <f t="shared" si="49"/>
        <v>61.682707643103605</v>
      </c>
      <c r="DV69" s="766">
        <f t="shared" si="50"/>
        <v>9.9991695112172074</v>
      </c>
      <c r="DW69" s="766">
        <f t="shared" si="51"/>
        <v>23.004826704598308</v>
      </c>
      <c r="DX69" s="766">
        <f t="shared" si="52"/>
        <v>10.456739411181049</v>
      </c>
      <c r="DY69" s="766">
        <f t="shared" si="53"/>
        <v>4.7610462263349982</v>
      </c>
      <c r="DZ69" s="766">
        <f t="shared" si="54"/>
        <v>3.6082837178079088</v>
      </c>
      <c r="EB69" s="755"/>
      <c r="EC69" s="755"/>
      <c r="ED69" s="755"/>
      <c r="EE69" s="755"/>
      <c r="EF69" s="755" t="b">
        <f t="shared" si="98"/>
        <v>0</v>
      </c>
      <c r="EG69" s="755">
        <f t="shared" si="55"/>
        <v>25.989609479419414</v>
      </c>
      <c r="EH69" s="755">
        <v>48</v>
      </c>
      <c r="EI69" s="755">
        <f t="shared" si="103"/>
        <v>31</v>
      </c>
      <c r="EJ69" s="673">
        <f t="shared" si="56"/>
        <v>5.010390520580585</v>
      </c>
      <c r="EK69" s="673">
        <f t="shared" si="57"/>
        <v>2.2510196371999172</v>
      </c>
      <c r="EL69" s="755" t="b">
        <f t="shared" si="58"/>
        <v>0</v>
      </c>
      <c r="EM69" s="673"/>
      <c r="EN69" s="755">
        <f t="shared" si="59"/>
        <v>5.010390520580585</v>
      </c>
      <c r="EO69" s="755">
        <f t="shared" si="60"/>
        <v>4.1532955564141771E-2</v>
      </c>
      <c r="EP69" s="755">
        <f t="shared" si="61"/>
        <v>2.7778881574593776E-3</v>
      </c>
      <c r="EQ69" s="755">
        <f t="shared" si="62"/>
        <v>5.2130374799515264</v>
      </c>
      <c r="ER69" s="755">
        <f t="shared" si="63"/>
        <v>2.5911771458284814</v>
      </c>
      <c r="ES69" s="755">
        <f t="shared" si="64"/>
        <v>4.4302862347765917</v>
      </c>
      <c r="ET69" s="755">
        <f t="shared" si="65"/>
        <v>8.7116678074746066</v>
      </c>
      <c r="EU69" s="755">
        <f t="shared" si="66"/>
        <v>2.4366825192259416</v>
      </c>
      <c r="EV69" s="755">
        <f t="shared" si="67"/>
        <v>3.4683823736849289</v>
      </c>
      <c r="EW69" s="755">
        <f t="shared" si="68"/>
        <v>51.916194455177212</v>
      </c>
      <c r="EX69" s="755">
        <f t="shared" si="69"/>
        <v>8.4159539775435199</v>
      </c>
      <c r="EY69" s="755">
        <f t="shared" si="99"/>
        <v>27.33251184705226</v>
      </c>
      <c r="EZ69" s="755">
        <f t="shared" si="70"/>
        <v>12.423869021387389</v>
      </c>
      <c r="FA69" s="755">
        <f t="shared" si="71"/>
        <v>5.010390520580585</v>
      </c>
      <c r="FB69" s="755">
        <f t="shared" si="72"/>
        <v>3.7127070659594761</v>
      </c>
      <c r="FC69" s="755"/>
      <c r="FD69" s="755"/>
      <c r="FE69" s="755"/>
      <c r="FF69" s="755"/>
      <c r="FG69" s="755"/>
      <c r="FH69" s="755"/>
      <c r="FI69" s="755"/>
      <c r="FJ69" s="755"/>
      <c r="FK69" s="755" t="b">
        <f t="shared" si="100"/>
        <v>0</v>
      </c>
      <c r="FL69" s="755">
        <f t="shared" si="73"/>
        <v>22.391716282192093</v>
      </c>
      <c r="FM69" s="755">
        <v>48</v>
      </c>
      <c r="FN69" s="767">
        <f t="shared" si="101"/>
        <v>26</v>
      </c>
      <c r="FO69" s="673">
        <f t="shared" si="74"/>
        <v>3.6082837178079088</v>
      </c>
      <c r="FP69" s="673">
        <f t="shared" si="75"/>
        <v>2.2510196371999172</v>
      </c>
      <c r="FQ69" s="766" t="b">
        <f t="shared" si="76"/>
        <v>0</v>
      </c>
      <c r="FR69" s="673"/>
      <c r="FS69" s="767">
        <f t="shared" si="77"/>
        <v>3.6082837178079088</v>
      </c>
      <c r="FT69" s="766">
        <f t="shared" si="78"/>
        <v>4.9346166114482885E-2</v>
      </c>
      <c r="FU69" s="766">
        <f t="shared" si="79"/>
        <v>3.3004665476731474E-3</v>
      </c>
      <c r="FV69" s="766">
        <f t="shared" si="80"/>
        <v>5.1468974438871813</v>
      </c>
      <c r="FW69" s="766">
        <f t="shared" si="81"/>
        <v>2.5750078426632985</v>
      </c>
      <c r="FX69" s="766">
        <f t="shared" si="82"/>
        <v>4.7760177214094846</v>
      </c>
      <c r="FY69" s="766">
        <f t="shared" si="83"/>
        <v>9.391510531515209</v>
      </c>
      <c r="FZ69" s="766">
        <f t="shared" si="84"/>
        <v>2.38160061776132</v>
      </c>
      <c r="GA69" s="766">
        <f t="shared" si="85"/>
        <v>3.39210479410447</v>
      </c>
      <c r="GB69" s="766">
        <f t="shared" si="86"/>
        <v>61.682707643103605</v>
      </c>
      <c r="GC69" s="766">
        <f t="shared" si="87"/>
        <v>9.9991695112172074</v>
      </c>
      <c r="GD69" s="766">
        <f t="shared" si="88"/>
        <v>23.004826704598308</v>
      </c>
      <c r="GE69" s="766">
        <f t="shared" si="89"/>
        <v>10.456739411181049</v>
      </c>
      <c r="GF69" s="766">
        <f t="shared" si="90"/>
        <v>5.4683051311007382</v>
      </c>
      <c r="GG69" s="766">
        <f t="shared" si="91"/>
        <v>3.6082837178079088</v>
      </c>
    </row>
    <row r="70" spans="1:189" ht="15.5">
      <c r="B70" s="292">
        <v>10</v>
      </c>
      <c r="C70" s="293"/>
      <c r="D70" s="293"/>
      <c r="E70" s="293"/>
      <c r="F70" s="293"/>
      <c r="G70" s="293"/>
      <c r="H70" s="294"/>
      <c r="I70" s="293"/>
      <c r="J70" s="293"/>
      <c r="K70" s="303"/>
      <c r="L70" s="304" t="str">
        <f t="shared" si="134"/>
        <v/>
      </c>
      <c r="M70" s="413" t="str">
        <f t="shared" si="135"/>
        <v/>
      </c>
      <c r="N70" s="291" t="str">
        <f t="shared" si="136"/>
        <v/>
      </c>
      <c r="O70" s="1102" t="s">
        <v>871</v>
      </c>
      <c r="P70" s="1103"/>
      <c r="Q70" s="1103"/>
      <c r="R70" s="777">
        <f>IF(ISNUMBER(C61),VLOOKUP(AN73,B61:AR72,42,FALSE),"")</f>
        <v>43.6</v>
      </c>
      <c r="S70" s="1077">
        <f>IF(ISNUMBER(C61),VLOOKUP(AN73,B61:AR72,43,FALSE),"")</f>
        <v>27.560000000000002</v>
      </c>
      <c r="T70" s="1077"/>
      <c r="U70" s="298">
        <f>IF(ISNUMBER(S70),S70/R70,"")</f>
        <v>0.63211009174311927</v>
      </c>
      <c r="V70" s="297">
        <f>IF(ISNUMBER(C61),VLOOKUP(AN73,B60:AT72,45,FALSE),"")</f>
        <v>8</v>
      </c>
      <c r="W70" s="1083"/>
      <c r="X70" s="1084"/>
      <c r="Y70" s="1084"/>
      <c r="Z70" s="1084"/>
      <c r="AA70" s="161"/>
      <c r="AB70" s="161"/>
      <c r="AC70" s="161"/>
      <c r="AD70" s="161"/>
      <c r="AE70" s="161"/>
      <c r="AF70" s="161"/>
      <c r="AG70" s="161"/>
      <c r="AH70" s="161"/>
      <c r="AI70" s="161"/>
      <c r="AJ70" s="161"/>
      <c r="AK70" s="168"/>
      <c r="AN70" s="160" t="str">
        <f t="shared" si="128"/>
        <v/>
      </c>
      <c r="AO70" s="160" t="str">
        <f t="shared" si="129"/>
        <v/>
      </c>
      <c r="AP70" s="160" t="str">
        <f t="shared" si="130"/>
        <v/>
      </c>
      <c r="AQ70" s="46">
        <f>AVERAGE(D61:D70)</f>
        <v>43.6</v>
      </c>
      <c r="AR70" s="46">
        <f>AVERAGE(E61:E70)</f>
        <v>27.560000000000002</v>
      </c>
      <c r="AS70" s="46">
        <f>AVERAGE(AT61:AT70)</f>
        <v>6.26</v>
      </c>
      <c r="AT70" s="617" t="str">
        <f t="shared" si="131"/>
        <v/>
      </c>
      <c r="AU70" s="59">
        <f t="shared" si="132"/>
        <v>0</v>
      </c>
      <c r="AV70" s="59" t="str">
        <f t="shared" si="133"/>
        <v/>
      </c>
      <c r="AW70" s="730" t="str">
        <f t="shared" si="137"/>
        <v>No Data</v>
      </c>
      <c r="AX70" s="737">
        <f t="shared" si="138"/>
        <v>0</v>
      </c>
      <c r="AY70" s="737" t="str">
        <f t="shared" si="139"/>
        <v/>
      </c>
      <c r="BY70" s="753" t="b">
        <f t="shared" si="94"/>
        <v>0</v>
      </c>
      <c r="BZ70" s="753">
        <f t="shared" si="19"/>
        <v>26.466455961562211</v>
      </c>
      <c r="CA70" s="751">
        <v>49</v>
      </c>
      <c r="CB70" s="752">
        <f t="shared" si="102"/>
        <v>31.5</v>
      </c>
      <c r="CC70" s="673">
        <f t="shared" si="20"/>
        <v>5.0335440384377907</v>
      </c>
      <c r="CD70" s="91">
        <f t="shared" si="9"/>
        <v>2</v>
      </c>
      <c r="CE70" s="752" t="b">
        <f t="shared" si="21"/>
        <v>0</v>
      </c>
      <c r="CF70" s="673"/>
      <c r="CG70" s="752">
        <f t="shared" si="22"/>
        <v>5.0335440384377907</v>
      </c>
      <c r="CH70" s="752">
        <f t="shared" si="23"/>
        <v>4.0886784258043242E-2</v>
      </c>
      <c r="CI70" s="752">
        <f t="shared" si="24"/>
        <v>2.7346696675994626E-3</v>
      </c>
      <c r="CJ70" s="755">
        <f t="shared" si="25"/>
        <v>5.2186067581640501</v>
      </c>
      <c r="CK70" s="755">
        <f t="shared" si="26"/>
        <v>2.5925280636235133</v>
      </c>
      <c r="CL70" s="755">
        <f t="shared" si="27"/>
        <v>4.44768741207261</v>
      </c>
      <c r="CM70" s="755">
        <f t="shared" si="28"/>
        <v>8.7458852977288295</v>
      </c>
      <c r="CN70" s="755">
        <f t="shared" si="29"/>
        <v>2.4417495476905384</v>
      </c>
      <c r="CO70" s="755">
        <f t="shared" si="30"/>
        <v>3.4754007643778153</v>
      </c>
      <c r="CP70" s="755">
        <f t="shared" si="31"/>
        <v>51.108480322554051</v>
      </c>
      <c r="CQ70" s="755">
        <f t="shared" si="32"/>
        <v>8.2850182447051477</v>
      </c>
      <c r="CR70" s="755">
        <f t="shared" si="95"/>
        <v>27.764472569805577</v>
      </c>
      <c r="CS70" s="755">
        <f t="shared" si="33"/>
        <v>12.620214804457079</v>
      </c>
      <c r="CT70" s="755">
        <f t="shared" si="34"/>
        <v>5.0335440384377907</v>
      </c>
      <c r="CU70" s="755">
        <f t="shared" si="35"/>
        <v>3.7223038169725275</v>
      </c>
      <c r="CX70" s="755"/>
      <c r="CY70" s="755"/>
      <c r="CZ70" s="755"/>
      <c r="DA70" s="755"/>
      <c r="DB70" s="755"/>
      <c r="DC70" s="755"/>
      <c r="DD70" s="755" t="b">
        <f t="shared" si="96"/>
        <v>0</v>
      </c>
      <c r="DE70" s="755">
        <f t="shared" si="36"/>
        <v>20.765906371393072</v>
      </c>
      <c r="DF70" s="755">
        <v>49</v>
      </c>
      <c r="DG70" s="755">
        <f t="shared" si="97"/>
        <v>25.5</v>
      </c>
      <c r="DH70" s="673">
        <f t="shared" si="37"/>
        <v>4.734093628606928</v>
      </c>
      <c r="DI70" s="673">
        <f t="shared" si="38"/>
        <v>2</v>
      </c>
      <c r="DJ70" s="766" t="b">
        <f t="shared" si="39"/>
        <v>0</v>
      </c>
      <c r="DK70" s="673"/>
      <c r="DL70" s="766">
        <f t="shared" si="40"/>
        <v>4.734093628606928</v>
      </c>
      <c r="DM70" s="766">
        <f t="shared" si="41"/>
        <v>5.0294201863184618E-2</v>
      </c>
      <c r="DN70" s="766">
        <f t="shared" si="42"/>
        <v>3.3638749240671546E-3</v>
      </c>
      <c r="DO70" s="766">
        <f t="shared" si="43"/>
        <v>5.1390199071307983</v>
      </c>
      <c r="DP70" s="766">
        <f t="shared" si="44"/>
        <v>2.5730664229912681</v>
      </c>
      <c r="DQ70" s="766">
        <f t="shared" si="45"/>
        <v>4.2232862214790297</v>
      </c>
      <c r="DR70" s="766">
        <f t="shared" si="46"/>
        <v>8.3046251794304791</v>
      </c>
      <c r="DS70" s="766">
        <f t="shared" si="47"/>
        <v>2.3755886635838492</v>
      </c>
      <c r="DT70" s="766">
        <f t="shared" si="48"/>
        <v>3.3837813252722624</v>
      </c>
      <c r="DU70" s="766">
        <f t="shared" si="49"/>
        <v>62.867752328980771</v>
      </c>
      <c r="DV70" s="766">
        <f t="shared" si="50"/>
        <v>10.191272989569908</v>
      </c>
      <c r="DW70" s="766">
        <f t="shared" si="51"/>
        <v>22.571190275334043</v>
      </c>
      <c r="DX70" s="766">
        <f t="shared" si="52"/>
        <v>10.259631943333655</v>
      </c>
      <c r="DY70" s="766">
        <f t="shared" si="53"/>
        <v>4.734093628606928</v>
      </c>
      <c r="DZ70" s="766">
        <f t="shared" si="54"/>
        <v>3.5968752531305928</v>
      </c>
      <c r="EB70" s="755"/>
      <c r="EC70" s="755"/>
      <c r="ED70" s="755"/>
      <c r="EE70" s="755"/>
      <c r="EF70" s="755" t="b">
        <f t="shared" si="98"/>
        <v>0</v>
      </c>
      <c r="EG70" s="755">
        <f t="shared" si="55"/>
        <v>26.466455961562211</v>
      </c>
      <c r="EH70" s="755">
        <v>49</v>
      </c>
      <c r="EI70" s="755">
        <f t="shared" si="103"/>
        <v>31.5</v>
      </c>
      <c r="EJ70" s="673">
        <f t="shared" si="56"/>
        <v>5.0335440384377907</v>
      </c>
      <c r="EK70" s="673">
        <f t="shared" si="57"/>
        <v>2.2510196371999172</v>
      </c>
      <c r="EL70" s="755" t="b">
        <f t="shared" si="58"/>
        <v>0</v>
      </c>
      <c r="EM70" s="673"/>
      <c r="EN70" s="755">
        <f t="shared" si="59"/>
        <v>5.0335440384377907</v>
      </c>
      <c r="EO70" s="755">
        <f t="shared" si="60"/>
        <v>4.0886784258043242E-2</v>
      </c>
      <c r="EP70" s="755">
        <f t="shared" si="61"/>
        <v>2.7346696675994626E-3</v>
      </c>
      <c r="EQ70" s="755">
        <f t="shared" si="62"/>
        <v>5.2186067581640501</v>
      </c>
      <c r="ER70" s="755">
        <f t="shared" si="63"/>
        <v>2.5925280636235133</v>
      </c>
      <c r="ES70" s="755">
        <f t="shared" si="64"/>
        <v>4.44768741207261</v>
      </c>
      <c r="ET70" s="755">
        <f t="shared" si="65"/>
        <v>8.7458852977288295</v>
      </c>
      <c r="EU70" s="755">
        <f t="shared" si="66"/>
        <v>2.4417495476905384</v>
      </c>
      <c r="EV70" s="755">
        <f t="shared" si="67"/>
        <v>3.4754007643778153</v>
      </c>
      <c r="EW70" s="755">
        <f t="shared" si="68"/>
        <v>51.108480322554051</v>
      </c>
      <c r="EX70" s="755">
        <f t="shared" si="69"/>
        <v>8.2850182447051477</v>
      </c>
      <c r="EY70" s="755">
        <f t="shared" si="99"/>
        <v>27.764472569805577</v>
      </c>
      <c r="EZ70" s="755">
        <f t="shared" si="70"/>
        <v>12.620214804457079</v>
      </c>
      <c r="FA70" s="755">
        <f t="shared" si="71"/>
        <v>5.0335440384377907</v>
      </c>
      <c r="FB70" s="755">
        <f t="shared" si="72"/>
        <v>3.7223038169725275</v>
      </c>
      <c r="FC70" s="755"/>
      <c r="FD70" s="755"/>
      <c r="FE70" s="755"/>
      <c r="FF70" s="755"/>
      <c r="FG70" s="755"/>
      <c r="FH70" s="755"/>
      <c r="FI70" s="755"/>
      <c r="FJ70" s="755"/>
      <c r="FK70" s="755" t="b">
        <f t="shared" si="100"/>
        <v>0</v>
      </c>
      <c r="FL70" s="755">
        <f t="shared" si="73"/>
        <v>21.903124746869409</v>
      </c>
      <c r="FM70" s="755">
        <v>49</v>
      </c>
      <c r="FN70" s="767">
        <f t="shared" si="101"/>
        <v>25.5</v>
      </c>
      <c r="FO70" s="673">
        <f t="shared" si="74"/>
        <v>3.5968752531305928</v>
      </c>
      <c r="FP70" s="673">
        <f t="shared" si="75"/>
        <v>2.2510196371999172</v>
      </c>
      <c r="FQ70" s="766" t="b">
        <f t="shared" si="76"/>
        <v>0</v>
      </c>
      <c r="FR70" s="673"/>
      <c r="FS70" s="767">
        <f t="shared" si="77"/>
        <v>3.5968752531305928</v>
      </c>
      <c r="FT70" s="766">
        <f t="shared" si="78"/>
        <v>5.0294201863184618E-2</v>
      </c>
      <c r="FU70" s="766">
        <f t="shared" si="79"/>
        <v>3.3638749240671546E-3</v>
      </c>
      <c r="FV70" s="766">
        <f t="shared" si="80"/>
        <v>5.1390199071307983</v>
      </c>
      <c r="FW70" s="766">
        <f t="shared" si="81"/>
        <v>2.5730664229912681</v>
      </c>
      <c r="FX70" s="766">
        <f t="shared" si="82"/>
        <v>4.7533501090325672</v>
      </c>
      <c r="FY70" s="766">
        <f t="shared" si="83"/>
        <v>9.3469371792414471</v>
      </c>
      <c r="FZ70" s="766">
        <f t="shared" si="84"/>
        <v>2.3755886635838492</v>
      </c>
      <c r="GA70" s="766">
        <f t="shared" si="85"/>
        <v>3.3837813252722624</v>
      </c>
      <c r="GB70" s="766">
        <f t="shared" si="86"/>
        <v>62.867752328980771</v>
      </c>
      <c r="GC70" s="766">
        <f t="shared" si="87"/>
        <v>10.191272989569908</v>
      </c>
      <c r="GD70" s="766">
        <f t="shared" si="88"/>
        <v>22.571190275334043</v>
      </c>
      <c r="GE70" s="766">
        <f t="shared" si="89"/>
        <v>10.259631943333655</v>
      </c>
      <c r="GF70" s="766">
        <f t="shared" si="90"/>
        <v>5.4384176046591897</v>
      </c>
      <c r="GG70" s="766">
        <f t="shared" si="91"/>
        <v>3.5968752531305928</v>
      </c>
    </row>
    <row r="71" spans="1:189" ht="15.5">
      <c r="B71" s="292">
        <v>11</v>
      </c>
      <c r="C71" s="293"/>
      <c r="D71" s="293"/>
      <c r="E71" s="293"/>
      <c r="F71" s="293"/>
      <c r="G71" s="293"/>
      <c r="H71" s="294"/>
      <c r="I71" s="293"/>
      <c r="J71" s="293"/>
      <c r="K71" s="303"/>
      <c r="L71" s="304" t="str">
        <f t="shared" si="134"/>
        <v/>
      </c>
      <c r="M71" s="413" t="str">
        <f t="shared" si="135"/>
        <v/>
      </c>
      <c r="N71" s="291" t="str">
        <f t="shared" si="136"/>
        <v/>
      </c>
      <c r="O71" s="1102" t="s">
        <v>872</v>
      </c>
      <c r="P71" s="1103"/>
      <c r="Q71" s="1103"/>
      <c r="R71" s="777">
        <f>IF(ISNUMBER(C61),VLOOKUP(AO73,B61:AR72,42,FALSE),"")</f>
        <v>42.666666666666664</v>
      </c>
      <c r="S71" s="1077">
        <f>IF(ISNUMBER(C61),VLOOKUP(AO73,B61:AR72,43,FALSE),"")</f>
        <v>24.366666666666664</v>
      </c>
      <c r="T71" s="1077"/>
      <c r="U71" s="298">
        <f>IF(ISNUMBER(S71),S71/R71,"")</f>
        <v>0.57109374999999996</v>
      </c>
      <c r="V71" s="297">
        <f>IF(ISNUMBER(C61),VLOOKUP(AO73,B61:AT72,45,FALSE),"")</f>
        <v>7.8</v>
      </c>
      <c r="W71" s="1083"/>
      <c r="X71" s="1084"/>
      <c r="Y71" s="1084"/>
      <c r="Z71" s="1084"/>
      <c r="AA71" s="161"/>
      <c r="AB71" s="161"/>
      <c r="AC71" s="161"/>
      <c r="AD71" s="161"/>
      <c r="AE71" s="161"/>
      <c r="AF71" s="161"/>
      <c r="AG71" s="161"/>
      <c r="AH71" s="161"/>
      <c r="AI71" s="161"/>
      <c r="AJ71" s="161"/>
      <c r="AK71" s="168"/>
      <c r="AN71" s="160" t="str">
        <f t="shared" si="128"/>
        <v/>
      </c>
      <c r="AO71" s="160" t="str">
        <f t="shared" si="129"/>
        <v/>
      </c>
      <c r="AP71" s="160" t="str">
        <f t="shared" si="130"/>
        <v/>
      </c>
      <c r="AQ71" s="46">
        <f>AVERAGE(D61:D71)</f>
        <v>43.6</v>
      </c>
      <c r="AR71" s="46">
        <f>AVERAGE(E61:E71)</f>
        <v>27.560000000000002</v>
      </c>
      <c r="AS71" s="46">
        <f>AVERAGE(AT61:AT71)</f>
        <v>6.26</v>
      </c>
      <c r="AT71" s="617" t="str">
        <f t="shared" si="131"/>
        <v/>
      </c>
      <c r="AU71" s="59">
        <f t="shared" si="132"/>
        <v>0</v>
      </c>
      <c r="AV71" s="59" t="str">
        <f t="shared" si="133"/>
        <v/>
      </c>
      <c r="AW71" s="730" t="str">
        <f t="shared" si="137"/>
        <v>No Data</v>
      </c>
      <c r="AX71" s="737">
        <f t="shared" si="138"/>
        <v>0</v>
      </c>
      <c r="AY71" s="737" t="str">
        <f t="shared" si="139"/>
        <v/>
      </c>
      <c r="AZ71">
        <f>AS82*(2.65*(W9/0.03)^0.5-1.35)</f>
        <v>0.25156562681783134</v>
      </c>
      <c r="BY71" s="753" t="b">
        <f t="shared" si="94"/>
        <v>0</v>
      </c>
      <c r="BZ71" s="753">
        <f t="shared" si="19"/>
        <v>26.943589361912142</v>
      </c>
      <c r="CA71" s="751">
        <v>50</v>
      </c>
      <c r="CB71" s="752">
        <f t="shared" si="102"/>
        <v>32</v>
      </c>
      <c r="CC71" s="673">
        <f t="shared" si="20"/>
        <v>5.0564106380878586</v>
      </c>
      <c r="CD71" s="91">
        <f t="shared" si="9"/>
        <v>2</v>
      </c>
      <c r="CE71" s="752" t="b">
        <f t="shared" si="21"/>
        <v>0</v>
      </c>
      <c r="CF71" s="673"/>
      <c r="CG71" s="752">
        <f t="shared" si="22"/>
        <v>5.0564106380878586</v>
      </c>
      <c r="CH71" s="752">
        <f t="shared" si="23"/>
        <v>4.0260607025432132E-2</v>
      </c>
      <c r="CI71" s="752">
        <f t="shared" si="24"/>
        <v>2.6927884603674189E-3</v>
      </c>
      <c r="CJ71" s="755">
        <f t="shared" si="25"/>
        <v>5.2240184933294334</v>
      </c>
      <c r="CK71" s="755">
        <f t="shared" si="26"/>
        <v>2.5938391987247726</v>
      </c>
      <c r="CL71" s="755">
        <f t="shared" si="27"/>
        <v>4.4648812841254282</v>
      </c>
      <c r="CM71" s="755">
        <f t="shared" si="28"/>
        <v>8.7796951451541663</v>
      </c>
      <c r="CN71" s="755">
        <f t="shared" si="29"/>
        <v>2.4467460352239909</v>
      </c>
      <c r="CO71" s="755">
        <f t="shared" si="30"/>
        <v>3.4823217007097576</v>
      </c>
      <c r="CP71" s="755">
        <f t="shared" si="31"/>
        <v>50.325758781790164</v>
      </c>
      <c r="CQ71" s="755">
        <f t="shared" si="32"/>
        <v>8.1581339741335039</v>
      </c>
      <c r="CR71" s="755">
        <f t="shared" si="95"/>
        <v>28.196296178120416</v>
      </c>
      <c r="CS71" s="755">
        <f t="shared" si="33"/>
        <v>12.816498262782007</v>
      </c>
      <c r="CT71" s="755">
        <f t="shared" si="34"/>
        <v>5.0564106380878586</v>
      </c>
      <c r="CU71" s="755">
        <f t="shared" si="35"/>
        <v>3.7317654384878662</v>
      </c>
      <c r="CX71" s="755"/>
      <c r="CY71" s="755"/>
      <c r="CZ71" s="755"/>
      <c r="DA71" s="755"/>
      <c r="DB71" s="755"/>
      <c r="DC71" s="755"/>
      <c r="DD71" s="755" t="b">
        <f t="shared" si="96"/>
        <v>0</v>
      </c>
      <c r="DE71" s="755">
        <f t="shared" si="36"/>
        <v>20.293276579694538</v>
      </c>
      <c r="DF71" s="755">
        <v>50</v>
      </c>
      <c r="DG71" s="755">
        <f t="shared" si="97"/>
        <v>25</v>
      </c>
      <c r="DH71" s="673">
        <f t="shared" si="37"/>
        <v>4.7067234203054626</v>
      </c>
      <c r="DI71" s="673">
        <f t="shared" si="38"/>
        <v>2</v>
      </c>
      <c r="DJ71" s="766" t="b">
        <f t="shared" si="39"/>
        <v>0</v>
      </c>
      <c r="DK71" s="673"/>
      <c r="DL71" s="766">
        <f t="shared" si="40"/>
        <v>4.7067234203054626</v>
      </c>
      <c r="DM71" s="766">
        <f t="shared" si="41"/>
        <v>5.127977239369489E-2</v>
      </c>
      <c r="DN71" s="766">
        <f t="shared" si="42"/>
        <v>3.4297937749617723E-3</v>
      </c>
      <c r="DO71" s="766">
        <f t="shared" si="43"/>
        <v>5.1308636318889365</v>
      </c>
      <c r="DP71" s="766">
        <f t="shared" si="44"/>
        <v>2.5710527864932269</v>
      </c>
      <c r="DQ71" s="766">
        <f t="shared" si="45"/>
        <v>4.2028459660542232</v>
      </c>
      <c r="DR71" s="766">
        <f t="shared" si="46"/>
        <v>8.2644316782153524</v>
      </c>
      <c r="DS71" s="766">
        <f t="shared" si="47"/>
        <v>2.3694716598341961</v>
      </c>
      <c r="DT71" s="766">
        <f t="shared" si="48"/>
        <v>3.375312807230757</v>
      </c>
      <c r="DU71" s="766">
        <f t="shared" si="49"/>
        <v>64.099715492118619</v>
      </c>
      <c r="DV71" s="766">
        <f t="shared" si="50"/>
        <v>10.390982259322888</v>
      </c>
      <c r="DW71" s="766">
        <f t="shared" si="51"/>
        <v>22.137383748208261</v>
      </c>
      <c r="DX71" s="766">
        <f t="shared" si="52"/>
        <v>10.062447158276482</v>
      </c>
      <c r="DY71" s="766">
        <f t="shared" si="53"/>
        <v>4.7067234203054626</v>
      </c>
      <c r="DZ71" s="766">
        <f t="shared" si="54"/>
        <v>3.5852652066226365</v>
      </c>
      <c r="EB71" s="755"/>
      <c r="EC71" s="755"/>
      <c r="ED71" s="755"/>
      <c r="EE71" s="755"/>
      <c r="EF71" s="755" t="b">
        <f t="shared" si="98"/>
        <v>0</v>
      </c>
      <c r="EG71" s="755">
        <f t="shared" si="55"/>
        <v>26.943589361912142</v>
      </c>
      <c r="EH71" s="755">
        <v>50</v>
      </c>
      <c r="EI71" s="755">
        <f t="shared" si="103"/>
        <v>32</v>
      </c>
      <c r="EJ71" s="673">
        <f t="shared" si="56"/>
        <v>5.0564106380878586</v>
      </c>
      <c r="EK71" s="673">
        <f t="shared" si="57"/>
        <v>2.2510196371999172</v>
      </c>
      <c r="EL71" s="755" t="b">
        <f t="shared" si="58"/>
        <v>0</v>
      </c>
      <c r="EM71" s="673"/>
      <c r="EN71" s="755">
        <f t="shared" si="59"/>
        <v>5.0564106380878586</v>
      </c>
      <c r="EO71" s="755">
        <f t="shared" si="60"/>
        <v>4.0260607025432132E-2</v>
      </c>
      <c r="EP71" s="755">
        <f t="shared" si="61"/>
        <v>2.6927884603674189E-3</v>
      </c>
      <c r="EQ71" s="755">
        <f t="shared" si="62"/>
        <v>5.2240184933294334</v>
      </c>
      <c r="ER71" s="755">
        <f t="shared" si="63"/>
        <v>2.5938391987247726</v>
      </c>
      <c r="ES71" s="755">
        <f t="shared" si="64"/>
        <v>4.4648812841254282</v>
      </c>
      <c r="ET71" s="755">
        <f t="shared" si="65"/>
        <v>8.7796951451541663</v>
      </c>
      <c r="EU71" s="755">
        <f t="shared" si="66"/>
        <v>2.4467460352239909</v>
      </c>
      <c r="EV71" s="755">
        <f t="shared" si="67"/>
        <v>3.4823217007097576</v>
      </c>
      <c r="EW71" s="755">
        <f t="shared" si="68"/>
        <v>50.325758781790164</v>
      </c>
      <c r="EX71" s="755">
        <f t="shared" si="69"/>
        <v>8.1581339741335039</v>
      </c>
      <c r="EY71" s="755">
        <f t="shared" si="99"/>
        <v>28.196296178120416</v>
      </c>
      <c r="EZ71" s="755">
        <f t="shared" si="70"/>
        <v>12.816498262782007</v>
      </c>
      <c r="FA71" s="755">
        <f t="shared" si="71"/>
        <v>5.0564106380878586</v>
      </c>
      <c r="FB71" s="755">
        <f t="shared" si="72"/>
        <v>3.7317654384878662</v>
      </c>
      <c r="FC71" s="755"/>
      <c r="FD71" s="755"/>
      <c r="FE71" s="755"/>
      <c r="FF71" s="755"/>
      <c r="FG71" s="755"/>
      <c r="FH71" s="755"/>
      <c r="FI71" s="755"/>
      <c r="FJ71" s="755"/>
      <c r="FK71" s="755" t="b">
        <f t="shared" si="100"/>
        <v>0</v>
      </c>
      <c r="FL71" s="755">
        <f t="shared" si="73"/>
        <v>21.414734793377363</v>
      </c>
      <c r="FM71" s="755">
        <v>50</v>
      </c>
      <c r="FN71" s="767">
        <f t="shared" si="101"/>
        <v>25</v>
      </c>
      <c r="FO71" s="673">
        <f t="shared" si="74"/>
        <v>3.5852652066226365</v>
      </c>
      <c r="FP71" s="673">
        <f t="shared" si="75"/>
        <v>2.2510196371999172</v>
      </c>
      <c r="FQ71" s="766" t="b">
        <f t="shared" si="76"/>
        <v>0</v>
      </c>
      <c r="FR71" s="673"/>
      <c r="FS71" s="767">
        <f t="shared" si="77"/>
        <v>3.5852652066226365</v>
      </c>
      <c r="FT71" s="766">
        <f t="shared" si="78"/>
        <v>5.127977239369489E-2</v>
      </c>
      <c r="FU71" s="766">
        <f t="shared" si="79"/>
        <v>3.4297937749617723E-3</v>
      </c>
      <c r="FV71" s="766">
        <f t="shared" si="80"/>
        <v>5.1308636318889365</v>
      </c>
      <c r="FW71" s="766">
        <f t="shared" si="81"/>
        <v>2.5710527864932269</v>
      </c>
      <c r="FX71" s="766">
        <f t="shared" si="82"/>
        <v>4.7303444008572564</v>
      </c>
      <c r="FY71" s="766">
        <f t="shared" si="83"/>
        <v>9.3016989989799121</v>
      </c>
      <c r="FZ71" s="766">
        <f t="shared" si="84"/>
        <v>2.3694716598341961</v>
      </c>
      <c r="GA71" s="766">
        <f t="shared" si="85"/>
        <v>3.375312807230757</v>
      </c>
      <c r="GB71" s="766">
        <f t="shared" si="86"/>
        <v>64.099715492118619</v>
      </c>
      <c r="GC71" s="766">
        <f t="shared" si="87"/>
        <v>10.390982259322888</v>
      </c>
      <c r="GD71" s="766">
        <f t="shared" si="88"/>
        <v>22.137383748208261</v>
      </c>
      <c r="GE71" s="766">
        <f t="shared" si="89"/>
        <v>10.062447158276482</v>
      </c>
      <c r="GF71" s="766">
        <f t="shared" si="90"/>
        <v>5.4080649648866945</v>
      </c>
      <c r="GG71" s="766">
        <f t="shared" si="91"/>
        <v>3.5852652066226365</v>
      </c>
    </row>
    <row r="72" spans="1:189" ht="16" thickBot="1">
      <c r="B72" s="299">
        <v>12</v>
      </c>
      <c r="C72" s="300"/>
      <c r="D72" s="300"/>
      <c r="E72" s="300"/>
      <c r="F72" s="300"/>
      <c r="G72" s="300"/>
      <c r="H72" s="300"/>
      <c r="I72" s="300"/>
      <c r="J72" s="300"/>
      <c r="K72" s="667"/>
      <c r="L72" s="299" t="str">
        <f t="shared" si="134"/>
        <v/>
      </c>
      <c r="M72" s="414" t="str">
        <f t="shared" si="135"/>
        <v/>
      </c>
      <c r="N72" s="404" t="str">
        <f t="shared" si="136"/>
        <v/>
      </c>
      <c r="O72" s="1104" t="s">
        <v>873</v>
      </c>
      <c r="P72" s="1105"/>
      <c r="Q72" s="1105"/>
      <c r="R72" s="778">
        <f>IF(ISNUMBER(C61),VLOOKUP(AP73,B61:AR72,42,FALSE),"")</f>
        <v>30</v>
      </c>
      <c r="S72" s="1078">
        <f>IF(ISNUMBER(C61),VLOOKUP(AP73,B61:AR72,43,FALSE),"")</f>
        <v>16.899999999999999</v>
      </c>
      <c r="T72" s="1078"/>
      <c r="U72" s="305">
        <f>IF(ISNUMBER(S72),S72/R72,"")</f>
        <v>0.56333333333333324</v>
      </c>
      <c r="V72" s="301">
        <f>IF(ISNUMBER(C61),VLOOKUP(AP73,B61:AT72,45,FALSE),"")</f>
        <v>2.6</v>
      </c>
      <c r="W72" s="1083"/>
      <c r="X72" s="1084"/>
      <c r="Y72" s="1084"/>
      <c r="Z72" s="1084"/>
      <c r="AA72" s="161"/>
      <c r="AB72" s="161"/>
      <c r="AC72" s="161"/>
      <c r="AD72" s="161"/>
      <c r="AE72" s="161"/>
      <c r="AF72" s="161"/>
      <c r="AG72" s="161"/>
      <c r="AH72" s="161"/>
      <c r="AI72" s="161"/>
      <c r="AJ72" s="161"/>
      <c r="AK72" s="168"/>
      <c r="AN72" s="160" t="str">
        <f t="shared" si="128"/>
        <v/>
      </c>
      <c r="AO72" s="160" t="str">
        <f t="shared" si="129"/>
        <v/>
      </c>
      <c r="AP72" s="160" t="str">
        <f t="shared" si="130"/>
        <v/>
      </c>
      <c r="AQ72" s="46">
        <f>AVERAGE(D61:D74)</f>
        <v>43.6</v>
      </c>
      <c r="AR72" s="46">
        <f>AVERAGE(E61:E74)</f>
        <v>27.560000000000002</v>
      </c>
      <c r="AS72" s="46">
        <f>AVERAGE(AT61:AT72)</f>
        <v>6.26</v>
      </c>
      <c r="AT72" s="617" t="str">
        <f t="shared" si="131"/>
        <v/>
      </c>
      <c r="AU72" s="59">
        <f t="shared" si="132"/>
        <v>0</v>
      </c>
      <c r="AV72" s="59" t="str">
        <f t="shared" si="133"/>
        <v/>
      </c>
      <c r="AW72" s="730" t="str">
        <f t="shared" si="137"/>
        <v>No Data</v>
      </c>
      <c r="AX72" s="737">
        <f t="shared" si="138"/>
        <v>0</v>
      </c>
      <c r="AY72" s="737" t="str">
        <f t="shared" si="139"/>
        <v/>
      </c>
      <c r="BY72" s="753" t="b">
        <f t="shared" si="94"/>
        <v>0</v>
      </c>
      <c r="BZ72" s="753">
        <f t="shared" si="19"/>
        <v>27.421001763108542</v>
      </c>
      <c r="CA72" s="751">
        <v>51</v>
      </c>
      <c r="CB72" s="752">
        <f t="shared" si="102"/>
        <v>32.5</v>
      </c>
      <c r="CC72" s="673">
        <f t="shared" si="20"/>
        <v>5.0789982368914579</v>
      </c>
      <c r="CD72" s="91">
        <f t="shared" si="9"/>
        <v>2</v>
      </c>
      <c r="CE72" s="752" t="b">
        <f t="shared" si="21"/>
        <v>0</v>
      </c>
      <c r="CF72" s="673"/>
      <c r="CG72" s="752">
        <f t="shared" si="22"/>
        <v>5.0789982368914579</v>
      </c>
      <c r="CH72" s="752">
        <f t="shared" si="23"/>
        <v>3.9653507072420435E-2</v>
      </c>
      <c r="CI72" s="752">
        <f t="shared" si="24"/>
        <v>2.6521832169659264E-3</v>
      </c>
      <c r="CJ72" s="755">
        <f t="shared" si="25"/>
        <v>5.2292793068792989</v>
      </c>
      <c r="CK72" s="755">
        <f t="shared" si="26"/>
        <v>2.5951122895949599</v>
      </c>
      <c r="CL72" s="755">
        <f t="shared" si="27"/>
        <v>4.4818735026945271</v>
      </c>
      <c r="CM72" s="755">
        <f t="shared" si="28"/>
        <v>8.8131084633104493</v>
      </c>
      <c r="CN72" s="755">
        <f t="shared" si="29"/>
        <v>2.4516740445168947</v>
      </c>
      <c r="CO72" s="755">
        <f t="shared" si="30"/>
        <v>3.4891480284977536</v>
      </c>
      <c r="CP72" s="755">
        <f t="shared" si="31"/>
        <v>49.566883840525541</v>
      </c>
      <c r="CQ72" s="755">
        <f t="shared" si="32"/>
        <v>8.0351153929871497</v>
      </c>
      <c r="CR72" s="755">
        <f t="shared" si="95"/>
        <v>28.627984857095964</v>
      </c>
      <c r="CS72" s="755">
        <f t="shared" si="33"/>
        <v>13.012720389589074</v>
      </c>
      <c r="CT72" s="755">
        <f t="shared" si="34"/>
        <v>5.0789982368914579</v>
      </c>
      <c r="CU72" s="755">
        <f t="shared" si="35"/>
        <v>3.7410958990004208</v>
      </c>
      <c r="CX72" s="755"/>
      <c r="CY72" s="755"/>
      <c r="CZ72" s="755"/>
      <c r="DA72" s="755"/>
      <c r="DB72" s="755"/>
      <c r="DC72" s="755"/>
      <c r="DD72" s="755" t="b">
        <f t="shared" si="96"/>
        <v>0</v>
      </c>
      <c r="DE72" s="755">
        <f t="shared" si="36"/>
        <v>19.821079345357475</v>
      </c>
      <c r="DF72" s="755">
        <v>51</v>
      </c>
      <c r="DG72" s="755">
        <f t="shared" si="97"/>
        <v>24.5</v>
      </c>
      <c r="DH72" s="673">
        <f t="shared" si="37"/>
        <v>4.6789206546425239</v>
      </c>
      <c r="DI72" s="673">
        <f t="shared" si="38"/>
        <v>2</v>
      </c>
      <c r="DJ72" s="766" t="b">
        <f t="shared" si="39"/>
        <v>0</v>
      </c>
      <c r="DK72" s="673"/>
      <c r="DL72" s="766">
        <f t="shared" si="40"/>
        <v>4.6789206546425239</v>
      </c>
      <c r="DM72" s="766">
        <f t="shared" si="41"/>
        <v>5.2305159973911296E-2</v>
      </c>
      <c r="DN72" s="766">
        <f t="shared" si="42"/>
        <v>3.4983757474508267E-3</v>
      </c>
      <c r="DO72" s="766">
        <f t="shared" si="43"/>
        <v>5.122413473649714</v>
      </c>
      <c r="DP72" s="766">
        <f t="shared" si="44"/>
        <v>2.5689628088301553</v>
      </c>
      <c r="DQ72" s="766">
        <f t="shared" si="45"/>
        <v>4.1820946919264257</v>
      </c>
      <c r="DR72" s="766">
        <f t="shared" si="46"/>
        <v>8.2236265931253314</v>
      </c>
      <c r="DS72" s="766">
        <f t="shared" si="47"/>
        <v>2.3632456115194227</v>
      </c>
      <c r="DT72" s="766">
        <f t="shared" si="48"/>
        <v>3.3666937316393608</v>
      </c>
      <c r="DU72" s="766">
        <f t="shared" si="49"/>
        <v>65.381449967389116</v>
      </c>
      <c r="DV72" s="766">
        <f t="shared" si="50"/>
        <v>10.598759783629307</v>
      </c>
      <c r="DW72" s="766">
        <f t="shared" si="51"/>
        <v>21.703403652072065</v>
      </c>
      <c r="DX72" s="766">
        <f t="shared" si="52"/>
        <v>9.8651834782145738</v>
      </c>
      <c r="DY72" s="766">
        <f t="shared" si="53"/>
        <v>4.6789206546425239</v>
      </c>
      <c r="DZ72" s="766">
        <f t="shared" si="54"/>
        <v>3.5734458790829513</v>
      </c>
      <c r="EB72" s="755"/>
      <c r="EC72" s="755"/>
      <c r="ED72" s="755"/>
      <c r="EE72" s="755"/>
      <c r="EF72" s="755" t="b">
        <f t="shared" si="98"/>
        <v>0</v>
      </c>
      <c r="EG72" s="755">
        <f t="shared" si="55"/>
        <v>27.421001763108542</v>
      </c>
      <c r="EH72" s="755">
        <v>51</v>
      </c>
      <c r="EI72" s="755">
        <f t="shared" si="103"/>
        <v>32.5</v>
      </c>
      <c r="EJ72" s="673">
        <f t="shared" si="56"/>
        <v>5.0789982368914579</v>
      </c>
      <c r="EK72" s="673">
        <f t="shared" si="57"/>
        <v>2.2510196371999172</v>
      </c>
      <c r="EL72" s="755" t="b">
        <f t="shared" si="58"/>
        <v>0</v>
      </c>
      <c r="EM72" s="673"/>
      <c r="EN72" s="755">
        <f t="shared" si="59"/>
        <v>5.0789982368914579</v>
      </c>
      <c r="EO72" s="755">
        <f t="shared" si="60"/>
        <v>3.9653507072420435E-2</v>
      </c>
      <c r="EP72" s="755">
        <f t="shared" si="61"/>
        <v>2.6521832169659264E-3</v>
      </c>
      <c r="EQ72" s="755">
        <f t="shared" si="62"/>
        <v>5.2292793068792989</v>
      </c>
      <c r="ER72" s="755">
        <f t="shared" si="63"/>
        <v>2.5951122895949599</v>
      </c>
      <c r="ES72" s="755">
        <f t="shared" si="64"/>
        <v>4.4818735026945271</v>
      </c>
      <c r="ET72" s="755">
        <f t="shared" si="65"/>
        <v>8.8131084633104493</v>
      </c>
      <c r="EU72" s="755">
        <f t="shared" si="66"/>
        <v>2.4516740445168947</v>
      </c>
      <c r="EV72" s="755">
        <f t="shared" si="67"/>
        <v>3.4891480284977536</v>
      </c>
      <c r="EW72" s="755">
        <f t="shared" si="68"/>
        <v>49.566883840525541</v>
      </c>
      <c r="EX72" s="755">
        <f t="shared" si="69"/>
        <v>8.0351153929871497</v>
      </c>
      <c r="EY72" s="755">
        <f t="shared" si="99"/>
        <v>28.627984857095964</v>
      </c>
      <c r="EZ72" s="755">
        <f t="shared" si="70"/>
        <v>13.012720389589074</v>
      </c>
      <c r="FA72" s="755">
        <f t="shared" si="71"/>
        <v>5.0789982368914579</v>
      </c>
      <c r="FB72" s="755">
        <f t="shared" si="72"/>
        <v>3.7410958990004208</v>
      </c>
      <c r="FC72" s="755"/>
      <c r="FD72" s="755"/>
      <c r="FE72" s="755"/>
      <c r="FF72" s="755"/>
      <c r="FG72" s="755"/>
      <c r="FH72" s="755"/>
      <c r="FI72" s="755"/>
      <c r="FJ72" s="755"/>
      <c r="FK72" s="755" t="b">
        <f t="shared" si="100"/>
        <v>0</v>
      </c>
      <c r="FL72" s="755">
        <f t="shared" si="73"/>
        <v>20.92655412091705</v>
      </c>
      <c r="FM72" s="755">
        <v>51</v>
      </c>
      <c r="FN72" s="767">
        <f t="shared" si="101"/>
        <v>24.5</v>
      </c>
      <c r="FO72" s="673">
        <f t="shared" si="74"/>
        <v>3.5734458790829513</v>
      </c>
      <c r="FP72" s="673">
        <f t="shared" si="75"/>
        <v>2.2510196371999172</v>
      </c>
      <c r="FQ72" s="766" t="b">
        <f t="shared" si="76"/>
        <v>0</v>
      </c>
      <c r="FR72" s="673"/>
      <c r="FS72" s="767">
        <f t="shared" si="77"/>
        <v>3.5734458790829513</v>
      </c>
      <c r="FT72" s="766">
        <f t="shared" si="78"/>
        <v>5.2305159973911296E-2</v>
      </c>
      <c r="FU72" s="766">
        <f t="shared" si="79"/>
        <v>3.4983757474508267E-3</v>
      </c>
      <c r="FV72" s="766">
        <f t="shared" si="80"/>
        <v>5.122413473649714</v>
      </c>
      <c r="FW72" s="766">
        <f t="shared" si="81"/>
        <v>2.5689628088301553</v>
      </c>
      <c r="FX72" s="766">
        <f t="shared" si="82"/>
        <v>4.7069886380779611</v>
      </c>
      <c r="FY72" s="766">
        <f t="shared" si="83"/>
        <v>9.2557724750622867</v>
      </c>
      <c r="FZ72" s="766">
        <f t="shared" si="84"/>
        <v>2.3632456115194227</v>
      </c>
      <c r="GA72" s="766">
        <f t="shared" si="85"/>
        <v>3.3666937316393608</v>
      </c>
      <c r="GB72" s="766">
        <f t="shared" si="86"/>
        <v>65.381449967389116</v>
      </c>
      <c r="GC72" s="766">
        <f t="shared" si="87"/>
        <v>10.598759783629307</v>
      </c>
      <c r="GD72" s="766">
        <f t="shared" si="88"/>
        <v>21.703403652072065</v>
      </c>
      <c r="GE72" s="766">
        <f t="shared" si="89"/>
        <v>9.8651834782145738</v>
      </c>
      <c r="GF72" s="766">
        <f t="shared" si="90"/>
        <v>5.3772305408434979</v>
      </c>
      <c r="GG72" s="766">
        <f t="shared" si="91"/>
        <v>3.5734458790829513</v>
      </c>
    </row>
    <row r="73" spans="1:189" ht="19" thickBot="1">
      <c r="B73" s="169"/>
      <c r="C73" s="161"/>
      <c r="D73" s="161"/>
      <c r="E73" s="161"/>
      <c r="F73" s="161"/>
      <c r="G73" s="161"/>
      <c r="H73" s="161"/>
      <c r="I73" s="161"/>
      <c r="J73" s="161"/>
      <c r="K73" s="161"/>
      <c r="L73" s="194" t="s">
        <v>918</v>
      </c>
      <c r="M73" s="161"/>
      <c r="N73" s="1067" t="str">
        <f>C13</f>
        <v>Rhodes grass, Pioneer</v>
      </c>
      <c r="O73" s="1068"/>
      <c r="P73" s="1068"/>
      <c r="Q73" s="1068"/>
      <c r="R73" s="1068"/>
      <c r="S73" s="1068"/>
      <c r="T73" s="480">
        <f>IF($AZ86,BE86,"")</f>
        <v>98.186357012654042</v>
      </c>
      <c r="U73" s="1070" t="str">
        <f>IF(AS95,"Threshold value used","")</f>
        <v/>
      </c>
      <c r="V73" s="1070"/>
      <c r="W73" s="1070"/>
      <c r="X73" s="765"/>
      <c r="Y73" s="161"/>
      <c r="Z73" s="161"/>
      <c r="AA73" s="161"/>
      <c r="AB73" s="161"/>
      <c r="AC73" s="161"/>
      <c r="AD73" s="161"/>
      <c r="AE73" s="161"/>
      <c r="AF73" s="161"/>
      <c r="AG73" s="161"/>
      <c r="AH73" s="161"/>
      <c r="AI73" s="161"/>
      <c r="AJ73" s="161"/>
      <c r="AK73" s="168"/>
      <c r="AN73" s="46">
        <f>MATCH(0,AN61:AN72,1)</f>
        <v>5</v>
      </c>
      <c r="AO73" s="46">
        <f>MATCH(0,AO61:AO72,1)</f>
        <v>3</v>
      </c>
      <c r="AP73" s="59">
        <f>MATCH(0,AP61:AP72,1)</f>
        <v>1</v>
      </c>
      <c r="AQ73" s="46"/>
      <c r="AR73" s="46"/>
      <c r="AS73" s="5"/>
      <c r="AX73" s="737">
        <f t="shared" si="138"/>
        <v>0</v>
      </c>
      <c r="AY73" s="737" t="str">
        <f t="shared" si="139"/>
        <v/>
      </c>
      <c r="BY73" s="753" t="b">
        <f t="shared" si="94"/>
        <v>0</v>
      </c>
      <c r="BZ73" s="753">
        <f t="shared" si="19"/>
        <v>27.898685583681388</v>
      </c>
      <c r="CA73" s="751">
        <v>52</v>
      </c>
      <c r="CB73" s="752">
        <f t="shared" si="102"/>
        <v>33</v>
      </c>
      <c r="CC73" s="673">
        <f t="shared" si="20"/>
        <v>5.1013144163186128</v>
      </c>
      <c r="CD73" s="91">
        <f t="shared" si="9"/>
        <v>2</v>
      </c>
      <c r="CE73" s="752" t="b">
        <f t="shared" si="21"/>
        <v>0</v>
      </c>
      <c r="CF73" s="673"/>
      <c r="CG73" s="752">
        <f t="shared" si="22"/>
        <v>5.1013144163186128</v>
      </c>
      <c r="CH73" s="752">
        <f t="shared" si="23"/>
        <v>3.9064622899056357E-2</v>
      </c>
      <c r="CI73" s="752">
        <f t="shared" si="24"/>
        <v>2.6127963168745766E-3</v>
      </c>
      <c r="CJ73" s="755">
        <f t="shared" si="25"/>
        <v>5.2343954533170542</v>
      </c>
      <c r="CK73" s="755">
        <f t="shared" si="26"/>
        <v>2.5963489746491306</v>
      </c>
      <c r="CL73" s="755">
        <f t="shared" si="27"/>
        <v>4.4986694813527377</v>
      </c>
      <c r="CM73" s="755">
        <f t="shared" si="28"/>
        <v>8.8461358973898054</v>
      </c>
      <c r="CN73" s="755">
        <f t="shared" si="29"/>
        <v>2.4565355473268777</v>
      </c>
      <c r="CO73" s="755">
        <f t="shared" si="30"/>
        <v>3.495882468215985</v>
      </c>
      <c r="CP73" s="755">
        <f t="shared" si="31"/>
        <v>48.83077862382045</v>
      </c>
      <c r="CQ73" s="755">
        <f t="shared" si="32"/>
        <v>7.9157879328096064</v>
      </c>
      <c r="CR73" s="755">
        <f t="shared" si="95"/>
        <v>29.059540723927526</v>
      </c>
      <c r="CS73" s="755">
        <f t="shared" si="33"/>
        <v>13.208882147239784</v>
      </c>
      <c r="CT73" s="755">
        <f t="shared" si="34"/>
        <v>5.1013144163186128</v>
      </c>
      <c r="CU73" s="755">
        <f t="shared" si="35"/>
        <v>3.7502989916067619</v>
      </c>
      <c r="CX73" s="755"/>
      <c r="CY73" s="755"/>
      <c r="CZ73" s="755"/>
      <c r="DA73" s="755"/>
      <c r="DB73" s="755"/>
      <c r="DC73" s="755"/>
      <c r="DD73" s="755" t="b">
        <f t="shared" si="96"/>
        <v>0</v>
      </c>
      <c r="DE73" s="755">
        <f t="shared" si="36"/>
        <v>19.349330467791919</v>
      </c>
      <c r="DF73" s="755">
        <v>52</v>
      </c>
      <c r="DG73" s="755">
        <f t="shared" si="97"/>
        <v>24</v>
      </c>
      <c r="DH73" s="673">
        <f t="shared" si="37"/>
        <v>4.6506695322080809</v>
      </c>
      <c r="DI73" s="673">
        <f t="shared" si="38"/>
        <v>2</v>
      </c>
      <c r="DJ73" s="766" t="b">
        <f t="shared" si="39"/>
        <v>0</v>
      </c>
      <c r="DK73" s="673"/>
      <c r="DL73" s="766">
        <f t="shared" si="40"/>
        <v>4.6506695322080809</v>
      </c>
      <c r="DM73" s="766">
        <f t="shared" si="41"/>
        <v>5.3372836071016082E-2</v>
      </c>
      <c r="DN73" s="766">
        <f t="shared" si="42"/>
        <v>3.5697861430237939E-3</v>
      </c>
      <c r="DO73" s="766">
        <f t="shared" si="43"/>
        <v>5.1136531664026057</v>
      </c>
      <c r="DP73" s="766">
        <f t="shared" si="44"/>
        <v>2.5667920446545178</v>
      </c>
      <c r="DQ73" s="766">
        <f t="shared" si="45"/>
        <v>4.1610211717282315</v>
      </c>
      <c r="DR73" s="766">
        <f t="shared" si="46"/>
        <v>8.1821878467843678</v>
      </c>
      <c r="DS73" s="766">
        <f t="shared" si="47"/>
        <v>2.3569062862525758</v>
      </c>
      <c r="DT73" s="766">
        <f t="shared" si="48"/>
        <v>3.3579182631518734</v>
      </c>
      <c r="DU73" s="766">
        <f t="shared" si="49"/>
        <v>66.716045088770102</v>
      </c>
      <c r="DV73" s="766">
        <f t="shared" si="50"/>
        <v>10.815106363691021</v>
      </c>
      <c r="DW73" s="766">
        <f t="shared" si="51"/>
        <v>21.269246372621861</v>
      </c>
      <c r="DX73" s="766">
        <f t="shared" si="52"/>
        <v>9.6678392602826637</v>
      </c>
      <c r="DY73" s="766">
        <f t="shared" si="53"/>
        <v>4.6506695322080809</v>
      </c>
      <c r="DZ73" s="766">
        <f t="shared" si="54"/>
        <v>3.5614091126162855</v>
      </c>
      <c r="EB73" s="755"/>
      <c r="EC73" s="755"/>
      <c r="ED73" s="755"/>
      <c r="EE73" s="755"/>
      <c r="EF73" s="755" t="b">
        <f t="shared" si="98"/>
        <v>0</v>
      </c>
      <c r="EG73" s="755">
        <f t="shared" si="55"/>
        <v>27.898685583681388</v>
      </c>
      <c r="EH73" s="755">
        <v>52</v>
      </c>
      <c r="EI73" s="755">
        <f t="shared" si="103"/>
        <v>33</v>
      </c>
      <c r="EJ73" s="673">
        <f t="shared" si="56"/>
        <v>5.1013144163186128</v>
      </c>
      <c r="EK73" s="673">
        <f t="shared" si="57"/>
        <v>2.2510196371999172</v>
      </c>
      <c r="EL73" s="755" t="b">
        <f t="shared" si="58"/>
        <v>0</v>
      </c>
      <c r="EM73" s="673"/>
      <c r="EN73" s="755">
        <f t="shared" si="59"/>
        <v>5.1013144163186128</v>
      </c>
      <c r="EO73" s="755">
        <f t="shared" si="60"/>
        <v>3.9064622899056357E-2</v>
      </c>
      <c r="EP73" s="755">
        <f t="shared" si="61"/>
        <v>2.6127963168745766E-3</v>
      </c>
      <c r="EQ73" s="755">
        <f t="shared" si="62"/>
        <v>5.2343954533170542</v>
      </c>
      <c r="ER73" s="755">
        <f t="shared" si="63"/>
        <v>2.5963489746491306</v>
      </c>
      <c r="ES73" s="755">
        <f t="shared" si="64"/>
        <v>4.4986694813527377</v>
      </c>
      <c r="ET73" s="755">
        <f t="shared" si="65"/>
        <v>8.8461358973898054</v>
      </c>
      <c r="EU73" s="755">
        <f t="shared" si="66"/>
        <v>2.4565355473268777</v>
      </c>
      <c r="EV73" s="755">
        <f t="shared" si="67"/>
        <v>3.495882468215985</v>
      </c>
      <c r="EW73" s="755">
        <f t="shared" si="68"/>
        <v>48.83077862382045</v>
      </c>
      <c r="EX73" s="755">
        <f t="shared" si="69"/>
        <v>7.9157879328096064</v>
      </c>
      <c r="EY73" s="755">
        <f t="shared" si="99"/>
        <v>29.059540723927526</v>
      </c>
      <c r="EZ73" s="755">
        <f t="shared" si="70"/>
        <v>13.208882147239784</v>
      </c>
      <c r="FA73" s="755">
        <f t="shared" si="71"/>
        <v>5.1013144163186128</v>
      </c>
      <c r="FB73" s="755">
        <f t="shared" si="72"/>
        <v>3.7502989916067619</v>
      </c>
      <c r="FC73" s="755"/>
      <c r="FD73" s="755"/>
      <c r="FE73" s="755"/>
      <c r="FF73" s="755"/>
      <c r="FG73" s="755"/>
      <c r="FH73" s="755"/>
      <c r="FI73" s="755"/>
      <c r="FJ73" s="755"/>
      <c r="FK73" s="755" t="b">
        <f t="shared" si="100"/>
        <v>0</v>
      </c>
      <c r="FL73" s="755">
        <f t="shared" si="73"/>
        <v>20.438590887383715</v>
      </c>
      <c r="FM73" s="755">
        <v>52</v>
      </c>
      <c r="FN73" s="767">
        <f t="shared" si="101"/>
        <v>24</v>
      </c>
      <c r="FO73" s="673">
        <f t="shared" si="74"/>
        <v>3.5614091126162855</v>
      </c>
      <c r="FP73" s="673">
        <f t="shared" si="75"/>
        <v>2.2510196371999172</v>
      </c>
      <c r="FQ73" s="766" t="b">
        <f t="shared" si="76"/>
        <v>0</v>
      </c>
      <c r="FR73" s="673"/>
      <c r="FS73" s="767">
        <f t="shared" si="77"/>
        <v>3.5614091126162855</v>
      </c>
      <c r="FT73" s="766">
        <f t="shared" si="78"/>
        <v>5.3372836071016082E-2</v>
      </c>
      <c r="FU73" s="766">
        <f t="shared" si="79"/>
        <v>3.5697861430237939E-3</v>
      </c>
      <c r="FV73" s="766">
        <f t="shared" si="80"/>
        <v>5.1136531664026057</v>
      </c>
      <c r="FW73" s="766">
        <f t="shared" si="81"/>
        <v>2.5667920446545178</v>
      </c>
      <c r="FX73" s="766">
        <f t="shared" si="82"/>
        <v>4.6832701841824287</v>
      </c>
      <c r="FY73" s="766">
        <f t="shared" si="83"/>
        <v>9.20913275918506</v>
      </c>
      <c r="FZ73" s="766">
        <f t="shared" si="84"/>
        <v>2.3569062862525758</v>
      </c>
      <c r="GA73" s="766">
        <f t="shared" si="85"/>
        <v>3.3579182631518734</v>
      </c>
      <c r="GB73" s="766">
        <f t="shared" si="86"/>
        <v>66.716045088770102</v>
      </c>
      <c r="GC73" s="766">
        <f t="shared" si="87"/>
        <v>10.815106363691021</v>
      </c>
      <c r="GD73" s="766">
        <f t="shared" si="88"/>
        <v>21.269246372621861</v>
      </c>
      <c r="GE73" s="766">
        <f t="shared" si="89"/>
        <v>9.6678392602826637</v>
      </c>
      <c r="GF73" s="766">
        <f t="shared" si="90"/>
        <v>5.3458967098462518</v>
      </c>
      <c r="GG73" s="766">
        <f t="shared" si="91"/>
        <v>3.5614091126162855</v>
      </c>
    </row>
    <row r="74" spans="1:189" ht="19" customHeight="1" thickTop="1">
      <c r="B74" s="169"/>
      <c r="C74" s="161"/>
      <c r="D74" s="1071" t="s">
        <v>1725</v>
      </c>
      <c r="E74" s="1071"/>
      <c r="F74" s="1071"/>
      <c r="G74" s="1071"/>
      <c r="H74" s="1071"/>
      <c r="I74" s="1071"/>
      <c r="J74" s="1071"/>
      <c r="K74" s="1071"/>
      <c r="L74" s="1071"/>
      <c r="M74" s="1071"/>
      <c r="N74" s="1066" t="s">
        <v>1053</v>
      </c>
      <c r="O74" s="1066"/>
      <c r="P74" s="1066"/>
      <c r="Q74" s="1066"/>
      <c r="R74" s="1066"/>
      <c r="S74" s="1066"/>
      <c r="T74" s="1066"/>
      <c r="U74" s="1066"/>
      <c r="V74" s="1072" t="s">
        <v>1681</v>
      </c>
      <c r="W74" s="1072"/>
      <c r="X74" s="1072"/>
      <c r="Y74" s="1072"/>
      <c r="Z74" s="1072"/>
      <c r="AA74" s="1072"/>
      <c r="AB74" s="161"/>
      <c r="AC74" s="161"/>
      <c r="AD74" s="161"/>
      <c r="AE74" s="161"/>
      <c r="AF74" s="161"/>
      <c r="AG74" s="161"/>
      <c r="AH74" s="161"/>
      <c r="AI74" s="161"/>
      <c r="AJ74" s="161"/>
      <c r="AK74" s="168"/>
      <c r="AX74" s="737"/>
      <c r="AY74" s="737"/>
      <c r="BY74" s="753" t="b">
        <f t="shared" si="94"/>
        <v>0</v>
      </c>
      <c r="BZ74" s="753">
        <f t="shared" si="19"/>
        <v>28.37663355896332</v>
      </c>
      <c r="CA74" s="751">
        <v>53</v>
      </c>
      <c r="CB74" s="752">
        <f t="shared" si="102"/>
        <v>33.5</v>
      </c>
      <c r="CC74" s="673">
        <f t="shared" si="20"/>
        <v>5.1233664410366817</v>
      </c>
      <c r="CD74" s="91">
        <f t="shared" si="9"/>
        <v>2</v>
      </c>
      <c r="CE74" s="752" t="b">
        <f t="shared" si="21"/>
        <v>0</v>
      </c>
      <c r="CF74" s="673"/>
      <c r="CG74" s="752">
        <f t="shared" si="22"/>
        <v>5.1233664410366817</v>
      </c>
      <c r="CH74" s="752">
        <f t="shared" si="23"/>
        <v>3.8493144188793717E-2</v>
      </c>
      <c r="CI74" s="752">
        <f t="shared" si="24"/>
        <v>2.5745735629213438E-3</v>
      </c>
      <c r="CJ74" s="755">
        <f t="shared" si="25"/>
        <v>5.2393728453368249</v>
      </c>
      <c r="CK74" s="755">
        <f t="shared" si="26"/>
        <v>2.5975507993596363</v>
      </c>
      <c r="CL74" s="755">
        <f t="shared" si="27"/>
        <v>4.5152744089621057</v>
      </c>
      <c r="CM74" s="755">
        <f t="shared" si="28"/>
        <v>8.8787876507154628</v>
      </c>
      <c r="CN74" s="755">
        <f t="shared" si="29"/>
        <v>2.4613324297962809</v>
      </c>
      <c r="CO74" s="755">
        <f t="shared" si="30"/>
        <v>3.5025276223207786</v>
      </c>
      <c r="CP74" s="755">
        <f t="shared" si="31"/>
        <v>48.116430235992148</v>
      </c>
      <c r="CQ74" s="755">
        <f t="shared" si="32"/>
        <v>7.7999873965995441</v>
      </c>
      <c r="CR74" s="755">
        <f t="shared" si="95"/>
        <v>29.490965831013725</v>
      </c>
      <c r="CS74" s="755">
        <f t="shared" si="33"/>
        <v>13.404984468642601</v>
      </c>
      <c r="CT74" s="755">
        <f t="shared" si="34"/>
        <v>5.1233664410366817</v>
      </c>
      <c r="CU74" s="755">
        <f t="shared" si="35"/>
        <v>3.7593783442805253</v>
      </c>
      <c r="CX74" s="755"/>
      <c r="CY74" s="755"/>
      <c r="CZ74" s="755"/>
      <c r="DA74" s="755"/>
      <c r="DB74" s="755"/>
      <c r="DC74" s="755"/>
      <c r="DD74" s="755" t="b">
        <f t="shared" si="96"/>
        <v>0</v>
      </c>
      <c r="DE74" s="755">
        <f t="shared" si="36"/>
        <v>18.878046666571962</v>
      </c>
      <c r="DF74" s="755">
        <v>53</v>
      </c>
      <c r="DG74" s="755">
        <f t="shared" si="97"/>
        <v>23.5</v>
      </c>
      <c r="DH74" s="673">
        <f t="shared" si="37"/>
        <v>4.6219533334280403</v>
      </c>
      <c r="DI74" s="673">
        <f t="shared" si="38"/>
        <v>2</v>
      </c>
      <c r="DJ74" s="766" t="b">
        <f t="shared" si="39"/>
        <v>0</v>
      </c>
      <c r="DK74" s="673"/>
      <c r="DL74" s="766">
        <f t="shared" si="40"/>
        <v>4.6219533334280403</v>
      </c>
      <c r="DM74" s="766">
        <f t="shared" si="41"/>
        <v>5.4485481394370719E-2</v>
      </c>
      <c r="DN74" s="766">
        <f t="shared" si="42"/>
        <v>3.6442042581137759E-3</v>
      </c>
      <c r="DO74" s="766">
        <f t="shared" si="43"/>
        <v>5.1045652165506059</v>
      </c>
      <c r="DP74" s="766">
        <f t="shared" si="44"/>
        <v>2.5645356956975851</v>
      </c>
      <c r="DQ74" s="766">
        <f t="shared" si="45"/>
        <v>4.1396135284714779</v>
      </c>
      <c r="DR74" s="766">
        <f t="shared" si="46"/>
        <v>8.1400920844090567</v>
      </c>
      <c r="DS74" s="766">
        <f t="shared" si="47"/>
        <v>2.3504491948543045</v>
      </c>
      <c r="DT74" s="766">
        <f t="shared" si="48"/>
        <v>3.3489802127151216</v>
      </c>
      <c r="DU74" s="766">
        <f t="shared" si="49"/>
        <v>68.1068517429634</v>
      </c>
      <c r="DV74" s="766">
        <f t="shared" si="50"/>
        <v>11.040565200113589</v>
      </c>
      <c r="DW74" s="766">
        <f t="shared" si="51"/>
        <v>20.834908143388187</v>
      </c>
      <c r="DX74" s="766">
        <f t="shared" si="52"/>
        <v>9.4704127924491743</v>
      </c>
      <c r="DY74" s="766">
        <f t="shared" si="53"/>
        <v>4.6219533334280403</v>
      </c>
      <c r="DZ74" s="766">
        <f t="shared" si="54"/>
        <v>3.5491462530829487</v>
      </c>
      <c r="EB74" s="755"/>
      <c r="EC74" s="755"/>
      <c r="ED74" s="755"/>
      <c r="EE74" s="755"/>
      <c r="EF74" s="755" t="b">
        <f t="shared" si="98"/>
        <v>0</v>
      </c>
      <c r="EG74" s="755">
        <f t="shared" si="55"/>
        <v>28.37663355896332</v>
      </c>
      <c r="EH74" s="755">
        <v>53</v>
      </c>
      <c r="EI74" s="755">
        <f t="shared" si="103"/>
        <v>33.5</v>
      </c>
      <c r="EJ74" s="673">
        <f t="shared" si="56"/>
        <v>5.1233664410366817</v>
      </c>
      <c r="EK74" s="673">
        <f t="shared" si="57"/>
        <v>2.2510196371999172</v>
      </c>
      <c r="EL74" s="755" t="b">
        <f t="shared" si="58"/>
        <v>0</v>
      </c>
      <c r="EM74" s="673"/>
      <c r="EN74" s="755">
        <f t="shared" si="59"/>
        <v>5.1233664410366817</v>
      </c>
      <c r="EO74" s="755">
        <f t="shared" si="60"/>
        <v>3.8493144188793717E-2</v>
      </c>
      <c r="EP74" s="755">
        <f t="shared" si="61"/>
        <v>2.5745735629213438E-3</v>
      </c>
      <c r="EQ74" s="755">
        <f t="shared" si="62"/>
        <v>5.2393728453368249</v>
      </c>
      <c r="ER74" s="755">
        <f t="shared" si="63"/>
        <v>2.5975507993596363</v>
      </c>
      <c r="ES74" s="755">
        <f t="shared" si="64"/>
        <v>4.5152744089621057</v>
      </c>
      <c r="ET74" s="755">
        <f t="shared" si="65"/>
        <v>8.8787876507154628</v>
      </c>
      <c r="EU74" s="755">
        <f t="shared" si="66"/>
        <v>2.4613324297962809</v>
      </c>
      <c r="EV74" s="755">
        <f t="shared" si="67"/>
        <v>3.5025276223207786</v>
      </c>
      <c r="EW74" s="755">
        <f t="shared" si="68"/>
        <v>48.116430235992148</v>
      </c>
      <c r="EX74" s="755">
        <f t="shared" si="69"/>
        <v>7.7999873965995441</v>
      </c>
      <c r="EY74" s="755">
        <f t="shared" si="99"/>
        <v>29.490965831013725</v>
      </c>
      <c r="EZ74" s="755">
        <f t="shared" si="70"/>
        <v>13.404984468642601</v>
      </c>
      <c r="FA74" s="755">
        <f t="shared" si="71"/>
        <v>5.1233664410366817</v>
      </c>
      <c r="FB74" s="755">
        <f t="shared" si="72"/>
        <v>3.7593783442805253</v>
      </c>
      <c r="FC74" s="755"/>
      <c r="FD74" s="755"/>
      <c r="FE74" s="755"/>
      <c r="FF74" s="755"/>
      <c r="FG74" s="755"/>
      <c r="FH74" s="755"/>
      <c r="FI74" s="755"/>
      <c r="FJ74" s="755"/>
      <c r="FK74" s="755" t="b">
        <f t="shared" si="100"/>
        <v>0</v>
      </c>
      <c r="FL74" s="755">
        <f t="shared" si="73"/>
        <v>19.950853746917051</v>
      </c>
      <c r="FM74" s="755">
        <v>53</v>
      </c>
      <c r="FN74" s="767">
        <f t="shared" si="101"/>
        <v>23.5</v>
      </c>
      <c r="FO74" s="673">
        <f t="shared" si="74"/>
        <v>3.5491462530829487</v>
      </c>
      <c r="FP74" s="673">
        <f t="shared" si="75"/>
        <v>2.2510196371999172</v>
      </c>
      <c r="FQ74" s="766" t="b">
        <f t="shared" si="76"/>
        <v>0</v>
      </c>
      <c r="FR74" s="673"/>
      <c r="FS74" s="767">
        <f t="shared" si="77"/>
        <v>3.5491462530829487</v>
      </c>
      <c r="FT74" s="766">
        <f t="shared" si="78"/>
        <v>5.4485481394370719E-2</v>
      </c>
      <c r="FU74" s="766">
        <f t="shared" si="79"/>
        <v>3.6442042581137759E-3</v>
      </c>
      <c r="FV74" s="766">
        <f t="shared" si="80"/>
        <v>5.1045652165506059</v>
      </c>
      <c r="FW74" s="766">
        <f t="shared" si="81"/>
        <v>2.5645356956975851</v>
      </c>
      <c r="FX74" s="766">
        <f t="shared" si="82"/>
        <v>4.6591756715038679</v>
      </c>
      <c r="FY74" s="766">
        <f t="shared" si="83"/>
        <v>9.161753565310196</v>
      </c>
      <c r="FZ74" s="766">
        <f t="shared" si="84"/>
        <v>2.3504491948543045</v>
      </c>
      <c r="GA74" s="766">
        <f t="shared" si="85"/>
        <v>3.3489802127151216</v>
      </c>
      <c r="GB74" s="766">
        <f t="shared" si="86"/>
        <v>68.1068517429634</v>
      </c>
      <c r="GC74" s="766">
        <f t="shared" si="87"/>
        <v>11.040565200113589</v>
      </c>
      <c r="GD74" s="766">
        <f t="shared" si="88"/>
        <v>20.834908143388187</v>
      </c>
      <c r="GE74" s="766">
        <f t="shared" si="89"/>
        <v>9.4704127924491743</v>
      </c>
      <c r="GF74" s="766">
        <f t="shared" si="90"/>
        <v>5.314044822032419</v>
      </c>
      <c r="GG74" s="766">
        <f t="shared" si="91"/>
        <v>3.5491462530829487</v>
      </c>
    </row>
    <row r="75" spans="1:189" ht="18" customHeight="1">
      <c r="B75" s="169"/>
      <c r="C75" s="161"/>
      <c r="D75" s="161"/>
      <c r="E75" s="161"/>
      <c r="F75" s="161"/>
      <c r="G75" s="161"/>
      <c r="H75" s="161"/>
      <c r="I75" s="161"/>
      <c r="J75" s="161"/>
      <c r="K75" s="161"/>
      <c r="L75" s="161"/>
      <c r="M75" s="161"/>
      <c r="N75" s="1066"/>
      <c r="O75" s="1066"/>
      <c r="P75" s="1066"/>
      <c r="Q75" s="1066"/>
      <c r="R75" s="1066"/>
      <c r="S75" s="1066"/>
      <c r="T75" s="1066"/>
      <c r="U75" s="1066"/>
      <c r="V75" s="1072"/>
      <c r="W75" s="1072"/>
      <c r="X75" s="1072"/>
      <c r="Y75" s="1072"/>
      <c r="Z75" s="1072"/>
      <c r="AA75" s="1072"/>
      <c r="AB75" s="161"/>
      <c r="AC75" s="161"/>
      <c r="AD75" s="161"/>
      <c r="AE75" s="161"/>
      <c r="AF75" s="161"/>
      <c r="AG75" s="161"/>
      <c r="AH75" s="161"/>
      <c r="AI75" s="161"/>
      <c r="AJ75" s="161"/>
      <c r="AK75" s="168"/>
      <c r="AO75" s="686" t="s">
        <v>1526</v>
      </c>
      <c r="BY75" s="753" t="b">
        <f t="shared" si="94"/>
        <v>0</v>
      </c>
      <c r="BZ75" s="753">
        <f t="shared" si="19"/>
        <v>28.854838723353325</v>
      </c>
      <c r="CA75" s="751">
        <v>54</v>
      </c>
      <c r="CB75" s="752">
        <f t="shared" si="102"/>
        <v>34</v>
      </c>
      <c r="CC75" s="673">
        <f t="shared" si="20"/>
        <v>5.1451612766466743</v>
      </c>
      <c r="CD75" s="91">
        <f t="shared" si="9"/>
        <v>2</v>
      </c>
      <c r="CE75" s="752" t="b">
        <f t="shared" si="21"/>
        <v>0</v>
      </c>
      <c r="CF75" s="673"/>
      <c r="CG75" s="752">
        <f t="shared" si="22"/>
        <v>5.1451612766466743</v>
      </c>
      <c r="CH75" s="752">
        <f t="shared" si="23"/>
        <v>3.7938308059500568E-2</v>
      </c>
      <c r="CI75" s="752">
        <f t="shared" si="24"/>
        <v>2.5374639305352316E-3</v>
      </c>
      <c r="CJ75" s="755">
        <f t="shared" si="25"/>
        <v>5.2442170769035474</v>
      </c>
      <c r="CK75" s="755">
        <f t="shared" si="26"/>
        <v>2.5987192227634495</v>
      </c>
      <c r="CL75" s="755">
        <f t="shared" si="27"/>
        <v>4.5316932621985924</v>
      </c>
      <c r="CM75" s="755">
        <f t="shared" si="28"/>
        <v>8.9110735093701834</v>
      </c>
      <c r="CN75" s="755">
        <f t="shared" si="29"/>
        <v>2.4660664973845954</v>
      </c>
      <c r="CO75" s="755">
        <f t="shared" si="30"/>
        <v>3.5090859820451787</v>
      </c>
      <c r="CP75" s="755">
        <f t="shared" si="31"/>
        <v>47.422885074375714</v>
      </c>
      <c r="CQ75" s="755">
        <f t="shared" si="32"/>
        <v>7.687559199140825</v>
      </c>
      <c r="CR75" s="755">
        <f t="shared" si="95"/>
        <v>29.922262168877126</v>
      </c>
      <c r="CS75" s="755">
        <f t="shared" si="33"/>
        <v>13.601028258580511</v>
      </c>
      <c r="CT75" s="755">
        <f t="shared" si="34"/>
        <v>5.1451612766466743</v>
      </c>
      <c r="CU75" s="755">
        <f t="shared" si="35"/>
        <v>3.768337429402409</v>
      </c>
      <c r="CX75" s="755"/>
      <c r="CY75" s="755"/>
      <c r="CZ75" s="755"/>
      <c r="DA75" s="755"/>
      <c r="DB75" s="755"/>
      <c r="DC75" s="755"/>
      <c r="DD75" s="755" t="b">
        <f t="shared" si="96"/>
        <v>0</v>
      </c>
      <c r="DE75" s="755">
        <f t="shared" si="36"/>
        <v>18.407245655891117</v>
      </c>
      <c r="DF75" s="755">
        <v>54</v>
      </c>
      <c r="DG75" s="755">
        <f t="shared" si="97"/>
        <v>23</v>
      </c>
      <c r="DH75" s="673">
        <f t="shared" si="37"/>
        <v>4.5927543441088829</v>
      </c>
      <c r="DI75" s="673">
        <f t="shared" si="38"/>
        <v>2</v>
      </c>
      <c r="DJ75" s="766" t="b">
        <f t="shared" si="39"/>
        <v>0</v>
      </c>
      <c r="DK75" s="673"/>
      <c r="DL75" s="766">
        <f t="shared" si="40"/>
        <v>4.5927543441088829</v>
      </c>
      <c r="DM75" s="766">
        <f t="shared" si="41"/>
        <v>5.5646008543434058E-2</v>
      </c>
      <c r="DN75" s="766">
        <f t="shared" si="42"/>
        <v>3.7218248988797431E-3</v>
      </c>
      <c r="DO75" s="766">
        <f t="shared" si="43"/>
        <v>5.0951307845150291</v>
      </c>
      <c r="DP75" s="766">
        <f t="shared" si="44"/>
        <v>2.5621885749663442</v>
      </c>
      <c r="DQ75" s="766">
        <f t="shared" si="45"/>
        <v>4.11785918321503</v>
      </c>
      <c r="DR75" s="766">
        <f t="shared" si="46"/>
        <v>8.0973145709031282</v>
      </c>
      <c r="DS75" s="766">
        <f t="shared" si="47"/>
        <v>2.3438695699183607</v>
      </c>
      <c r="DT75" s="766">
        <f t="shared" si="48"/>
        <v>3.3398730080665948</v>
      </c>
      <c r="DU75" s="766">
        <f t="shared" si="49"/>
        <v>69.557510679292577</v>
      </c>
      <c r="DV75" s="766">
        <f t="shared" si="50"/>
        <v>11.275726482125489</v>
      </c>
      <c r="DW75" s="766">
        <f t="shared" si="51"/>
        <v>20.400385035953271</v>
      </c>
      <c r="DX75" s="766">
        <f t="shared" si="52"/>
        <v>9.272902289069668</v>
      </c>
      <c r="DY75" s="766">
        <f t="shared" si="53"/>
        <v>4.5927543441088829</v>
      </c>
      <c r="DZ75" s="766">
        <f t="shared" si="54"/>
        <v>3.5366481086016197</v>
      </c>
      <c r="EB75" s="755"/>
      <c r="EC75" s="755"/>
      <c r="ED75" s="755"/>
      <c r="EE75" s="755"/>
      <c r="EF75" s="755" t="b">
        <f t="shared" si="98"/>
        <v>0</v>
      </c>
      <c r="EG75" s="755">
        <f t="shared" si="55"/>
        <v>28.854838723353325</v>
      </c>
      <c r="EH75" s="755">
        <v>54</v>
      </c>
      <c r="EI75" s="755">
        <f t="shared" si="103"/>
        <v>34</v>
      </c>
      <c r="EJ75" s="673">
        <f t="shared" si="56"/>
        <v>5.1451612766466743</v>
      </c>
      <c r="EK75" s="673">
        <f t="shared" si="57"/>
        <v>2.2510196371999172</v>
      </c>
      <c r="EL75" s="755" t="b">
        <f t="shared" si="58"/>
        <v>0</v>
      </c>
      <c r="EM75" s="673"/>
      <c r="EN75" s="755">
        <f t="shared" si="59"/>
        <v>5.1451612766466743</v>
      </c>
      <c r="EO75" s="755">
        <f t="shared" si="60"/>
        <v>3.7938308059500568E-2</v>
      </c>
      <c r="EP75" s="755">
        <f t="shared" si="61"/>
        <v>2.5374639305352316E-3</v>
      </c>
      <c r="EQ75" s="755">
        <f t="shared" si="62"/>
        <v>5.2442170769035474</v>
      </c>
      <c r="ER75" s="755">
        <f t="shared" si="63"/>
        <v>2.5987192227634495</v>
      </c>
      <c r="ES75" s="755">
        <f t="shared" si="64"/>
        <v>4.5316932621985924</v>
      </c>
      <c r="ET75" s="755">
        <f t="shared" si="65"/>
        <v>8.9110735093701834</v>
      </c>
      <c r="EU75" s="755">
        <f t="shared" si="66"/>
        <v>2.4660664973845954</v>
      </c>
      <c r="EV75" s="755">
        <f t="shared" si="67"/>
        <v>3.5090859820451787</v>
      </c>
      <c r="EW75" s="755">
        <f t="shared" si="68"/>
        <v>47.422885074375714</v>
      </c>
      <c r="EX75" s="755">
        <f t="shared" si="69"/>
        <v>7.687559199140825</v>
      </c>
      <c r="EY75" s="755">
        <f t="shared" si="99"/>
        <v>29.922262168877126</v>
      </c>
      <c r="EZ75" s="755">
        <f t="shared" si="70"/>
        <v>13.601028258580511</v>
      </c>
      <c r="FA75" s="755">
        <f t="shared" si="71"/>
        <v>5.1451612766466743</v>
      </c>
      <c r="FB75" s="755">
        <f t="shared" si="72"/>
        <v>3.768337429402409</v>
      </c>
      <c r="FC75" s="755"/>
      <c r="FD75" s="755"/>
      <c r="FE75" s="755"/>
      <c r="FF75" s="755"/>
      <c r="FG75" s="755"/>
      <c r="FH75" s="755"/>
      <c r="FI75" s="755"/>
      <c r="FJ75" s="755"/>
      <c r="FK75" s="755" t="b">
        <f t="shared" si="100"/>
        <v>0</v>
      </c>
      <c r="FL75" s="755">
        <f t="shared" si="73"/>
        <v>19.463351891398382</v>
      </c>
      <c r="FM75" s="755">
        <v>54</v>
      </c>
      <c r="FN75" s="767">
        <f t="shared" si="101"/>
        <v>23</v>
      </c>
      <c r="FO75" s="673">
        <f t="shared" si="74"/>
        <v>3.5366481086016197</v>
      </c>
      <c r="FP75" s="673">
        <f t="shared" si="75"/>
        <v>2.2510196371999172</v>
      </c>
      <c r="FQ75" s="766" t="b">
        <f t="shared" si="76"/>
        <v>0</v>
      </c>
      <c r="FR75" s="673"/>
      <c r="FS75" s="767">
        <f t="shared" si="77"/>
        <v>3.5366481086016197</v>
      </c>
      <c r="FT75" s="766">
        <f t="shared" si="78"/>
        <v>5.5646008543434058E-2</v>
      </c>
      <c r="FU75" s="766">
        <f t="shared" si="79"/>
        <v>3.7218248988797431E-3</v>
      </c>
      <c r="FV75" s="766">
        <f t="shared" si="80"/>
        <v>5.0951307845150291</v>
      </c>
      <c r="FW75" s="766">
        <f t="shared" si="81"/>
        <v>2.5621885749663442</v>
      </c>
      <c r="FX75" s="766">
        <f t="shared" si="82"/>
        <v>4.634690942320522</v>
      </c>
      <c r="FY75" s="766">
        <f t="shared" si="83"/>
        <v>9.1136070538439817</v>
      </c>
      <c r="FZ75" s="766">
        <f t="shared" si="84"/>
        <v>2.3438695699183607</v>
      </c>
      <c r="GA75" s="766">
        <f t="shared" si="85"/>
        <v>3.3398730080665948</v>
      </c>
      <c r="GB75" s="766">
        <f t="shared" si="86"/>
        <v>69.557510679292577</v>
      </c>
      <c r="GC75" s="766">
        <f t="shared" si="87"/>
        <v>11.275726482125489</v>
      </c>
      <c r="GD75" s="766">
        <f t="shared" si="88"/>
        <v>20.400385035953271</v>
      </c>
      <c r="GE75" s="766">
        <f t="shared" si="89"/>
        <v>9.272902289069668</v>
      </c>
      <c r="GF75" s="766">
        <f t="shared" si="90"/>
        <v>5.2816551172002955</v>
      </c>
      <c r="GG75" s="766">
        <f t="shared" si="91"/>
        <v>3.5366481086016197</v>
      </c>
    </row>
    <row r="76" spans="1:189" ht="42.5" customHeight="1">
      <c r="B76" s="314"/>
      <c r="C76" s="163"/>
      <c r="D76" s="163"/>
      <c r="E76" s="163"/>
      <c r="F76" s="163"/>
      <c r="G76" s="161"/>
      <c r="H76" s="174"/>
      <c r="I76" s="161"/>
      <c r="J76" s="161"/>
      <c r="K76" s="161"/>
      <c r="L76" s="161"/>
      <c r="M76" s="161"/>
      <c r="N76" s="644" t="s">
        <v>1486</v>
      </c>
      <c r="O76" s="163"/>
      <c r="P76" s="163"/>
      <c r="Q76" s="161"/>
      <c r="R76" s="161"/>
      <c r="S76" s="161"/>
      <c r="T76" s="194"/>
      <c r="U76" s="161"/>
      <c r="V76" s="1072"/>
      <c r="W76" s="1072"/>
      <c r="X76" s="1072"/>
      <c r="Y76" s="1072"/>
      <c r="Z76" s="1072"/>
      <c r="AA76" s="1072"/>
      <c r="AB76" s="161"/>
      <c r="AC76" s="161"/>
      <c r="AD76" s="161"/>
      <c r="AE76" s="161"/>
      <c r="AF76" s="161"/>
      <c r="AG76" s="161"/>
      <c r="AH76" s="161"/>
      <c r="AI76" s="161"/>
      <c r="AJ76" s="161"/>
      <c r="AK76" s="168"/>
      <c r="AQ76" t="s">
        <v>587</v>
      </c>
      <c r="AW76" s="59" t="s">
        <v>587</v>
      </c>
      <c r="AX76" s="59"/>
      <c r="AY76" s="59"/>
      <c r="BC76" s="59" t="s">
        <v>587</v>
      </c>
      <c r="BD76" s="59"/>
      <c r="BE76" s="59"/>
      <c r="BY76" s="753" t="b">
        <f t="shared" si="94"/>
        <v>0</v>
      </c>
      <c r="BZ76" s="753">
        <f t="shared" si="19"/>
        <v>29.333294393818026</v>
      </c>
      <c r="CA76" s="751">
        <v>55</v>
      </c>
      <c r="CB76" s="752">
        <f t="shared" si="102"/>
        <v>34.5</v>
      </c>
      <c r="CC76" s="673">
        <f t="shared" si="20"/>
        <v>5.1667056061819734</v>
      </c>
      <c r="CD76" s="91">
        <f t="shared" si="9"/>
        <v>2</v>
      </c>
      <c r="CE76" s="752" t="b">
        <f t="shared" si="21"/>
        <v>0</v>
      </c>
      <c r="CF76" s="673"/>
      <c r="CG76" s="752">
        <f t="shared" si="22"/>
        <v>5.1667056061819734</v>
      </c>
      <c r="CH76" s="752">
        <f t="shared" si="23"/>
        <v>3.7399395639428165E-2</v>
      </c>
      <c r="CI76" s="752">
        <f t="shared" si="24"/>
        <v>2.501419338733549E-3</v>
      </c>
      <c r="CJ76" s="755">
        <f t="shared" si="25"/>
        <v>5.2489334444849796</v>
      </c>
      <c r="CK76" s="755">
        <f t="shared" si="26"/>
        <v>2.599855623429765</v>
      </c>
      <c r="CL76" s="755">
        <f t="shared" si="27"/>
        <v>4.547930817205696</v>
      </c>
      <c r="CM76" s="755">
        <f t="shared" si="28"/>
        <v>8.9430028651118274</v>
      </c>
      <c r="CN76" s="755">
        <f t="shared" si="29"/>
        <v>2.4707394794487896</v>
      </c>
      <c r="CO76" s="755">
        <f t="shared" si="30"/>
        <v>3.5155599337087553</v>
      </c>
      <c r="CP76" s="755">
        <f t="shared" si="31"/>
        <v>46.749244549285208</v>
      </c>
      <c r="CQ76" s="755">
        <f t="shared" si="32"/>
        <v>7.5783576731802764</v>
      </c>
      <c r="CR76" s="755">
        <f t="shared" si="95"/>
        <v>30.353431668912314</v>
      </c>
      <c r="CS76" s="755">
        <f t="shared" si="33"/>
        <v>13.797014394960142</v>
      </c>
      <c r="CT76" s="755">
        <f t="shared" si="34"/>
        <v>5.1667056061819734</v>
      </c>
      <c r="CU76" s="755">
        <f t="shared" si="35"/>
        <v>3.7771795726089512</v>
      </c>
      <c r="CX76" s="755"/>
      <c r="CY76" s="755"/>
      <c r="CZ76" s="755"/>
      <c r="DA76" s="755"/>
      <c r="DB76" s="755"/>
      <c r="DC76" s="755"/>
      <c r="DD76" s="755" t="b">
        <f t="shared" si="96"/>
        <v>0</v>
      </c>
      <c r="DE76" s="755">
        <f t="shared" si="36"/>
        <v>17.936946226805549</v>
      </c>
      <c r="DF76" s="755">
        <v>55</v>
      </c>
      <c r="DG76" s="755">
        <f t="shared" si="97"/>
        <v>22.5</v>
      </c>
      <c r="DH76" s="673">
        <f t="shared" si="37"/>
        <v>4.5630537731944516</v>
      </c>
      <c r="DI76" s="673">
        <f t="shared" si="38"/>
        <v>2</v>
      </c>
      <c r="DJ76" s="766" t="b">
        <f t="shared" si="39"/>
        <v>0</v>
      </c>
      <c r="DK76" s="673"/>
      <c r="DL76" s="766">
        <f t="shared" si="40"/>
        <v>4.5630537731944516</v>
      </c>
      <c r="DM76" s="766">
        <f t="shared" si="41"/>
        <v>5.68575876646846E-2</v>
      </c>
      <c r="DN76" s="766">
        <f t="shared" si="42"/>
        <v>3.8028600972428643E-3</v>
      </c>
      <c r="DO76" s="766">
        <f t="shared" si="43"/>
        <v>5.0853295523300108</v>
      </c>
      <c r="DP76" s="766">
        <f t="shared" si="44"/>
        <v>2.5597450664844268</v>
      </c>
      <c r="DQ76" s="766">
        <f t="shared" si="45"/>
        <v>4.0957447972767573</v>
      </c>
      <c r="DR76" s="766">
        <f t="shared" si="46"/>
        <v>8.053829077223682</v>
      </c>
      <c r="DS76" s="766">
        <f t="shared" si="47"/>
        <v>2.3371623420778707</v>
      </c>
      <c r="DT76" s="766">
        <f t="shared" si="48"/>
        <v>3.3305896610692733</v>
      </c>
      <c r="DU76" s="766">
        <f t="shared" si="49"/>
        <v>71.071984580855755</v>
      </c>
      <c r="DV76" s="766">
        <f t="shared" si="50"/>
        <v>11.521232586521311</v>
      </c>
      <c r="DW76" s="766">
        <f t="shared" si="51"/>
        <v>19.965672949313248</v>
      </c>
      <c r="DX76" s="766">
        <f t="shared" si="52"/>
        <v>9.0753058860514759</v>
      </c>
      <c r="DY76" s="766">
        <f t="shared" si="53"/>
        <v>4.5630537731944516</v>
      </c>
      <c r="DZ76" s="766">
        <f t="shared" si="54"/>
        <v>3.5239049035945458</v>
      </c>
      <c r="EB76" s="755"/>
      <c r="EC76" s="755"/>
      <c r="ED76" s="755"/>
      <c r="EE76" s="755"/>
      <c r="EF76" s="755" t="b">
        <f t="shared" si="98"/>
        <v>0</v>
      </c>
      <c r="EG76" s="755">
        <f t="shared" si="55"/>
        <v>29.333294393818026</v>
      </c>
      <c r="EH76" s="755">
        <v>55</v>
      </c>
      <c r="EI76" s="755">
        <f t="shared" si="103"/>
        <v>34.5</v>
      </c>
      <c r="EJ76" s="673">
        <f t="shared" si="56"/>
        <v>5.1667056061819734</v>
      </c>
      <c r="EK76" s="673">
        <f t="shared" si="57"/>
        <v>2.2510196371999172</v>
      </c>
      <c r="EL76" s="755" t="b">
        <f t="shared" si="58"/>
        <v>0</v>
      </c>
      <c r="EM76" s="673"/>
      <c r="EN76" s="755">
        <f t="shared" si="59"/>
        <v>5.1667056061819734</v>
      </c>
      <c r="EO76" s="755">
        <f t="shared" si="60"/>
        <v>3.7399395639428165E-2</v>
      </c>
      <c r="EP76" s="755">
        <f t="shared" si="61"/>
        <v>2.501419338733549E-3</v>
      </c>
      <c r="EQ76" s="755">
        <f t="shared" si="62"/>
        <v>5.2489334444849796</v>
      </c>
      <c r="ER76" s="755">
        <f t="shared" si="63"/>
        <v>2.599855623429765</v>
      </c>
      <c r="ES76" s="755">
        <f t="shared" si="64"/>
        <v>4.547930817205696</v>
      </c>
      <c r="ET76" s="755">
        <f t="shared" si="65"/>
        <v>8.9430028651118274</v>
      </c>
      <c r="EU76" s="755">
        <f t="shared" si="66"/>
        <v>2.4707394794487896</v>
      </c>
      <c r="EV76" s="755">
        <f t="shared" si="67"/>
        <v>3.5155599337087553</v>
      </c>
      <c r="EW76" s="755">
        <f t="shared" si="68"/>
        <v>46.749244549285208</v>
      </c>
      <c r="EX76" s="755">
        <f t="shared" si="69"/>
        <v>7.5783576731802764</v>
      </c>
      <c r="EY76" s="755">
        <f t="shared" si="99"/>
        <v>30.353431668912314</v>
      </c>
      <c r="EZ76" s="755">
        <f t="shared" si="70"/>
        <v>13.797014394960142</v>
      </c>
      <c r="FA76" s="755">
        <f t="shared" si="71"/>
        <v>5.1667056061819734</v>
      </c>
      <c r="FB76" s="755">
        <f t="shared" si="72"/>
        <v>3.7771795726089512</v>
      </c>
      <c r="FC76" s="755"/>
      <c r="FD76" s="755"/>
      <c r="FE76" s="755"/>
      <c r="FF76" s="755"/>
      <c r="FG76" s="755"/>
      <c r="FH76" s="755"/>
      <c r="FI76" s="755"/>
      <c r="FJ76" s="755"/>
      <c r="FK76" s="755" t="b">
        <f t="shared" si="100"/>
        <v>0</v>
      </c>
      <c r="FL76" s="755">
        <f t="shared" si="73"/>
        <v>18.976095096405455</v>
      </c>
      <c r="FM76" s="755">
        <v>55</v>
      </c>
      <c r="FN76" s="767">
        <f t="shared" si="101"/>
        <v>22.5</v>
      </c>
      <c r="FO76" s="673">
        <f t="shared" si="74"/>
        <v>3.5239049035945458</v>
      </c>
      <c r="FP76" s="673">
        <f t="shared" si="75"/>
        <v>2.2510196371999172</v>
      </c>
      <c r="FQ76" s="766" t="b">
        <f t="shared" si="76"/>
        <v>0</v>
      </c>
      <c r="FR76" s="673"/>
      <c r="FS76" s="767">
        <f t="shared" si="77"/>
        <v>3.5239049035945458</v>
      </c>
      <c r="FT76" s="766">
        <f t="shared" si="78"/>
        <v>5.68575876646846E-2</v>
      </c>
      <c r="FU76" s="766">
        <f t="shared" si="79"/>
        <v>3.8028600972428643E-3</v>
      </c>
      <c r="FV76" s="766">
        <f t="shared" si="80"/>
        <v>5.0853295523300108</v>
      </c>
      <c r="FW76" s="766">
        <f t="shared" si="81"/>
        <v>2.5597450664844268</v>
      </c>
      <c r="FX76" s="766">
        <f t="shared" si="82"/>
        <v>4.6098009838146874</v>
      </c>
      <c r="FY76" s="766">
        <f t="shared" si="83"/>
        <v>9.0646637037410986</v>
      </c>
      <c r="FZ76" s="766">
        <f t="shared" si="84"/>
        <v>2.3371623420778707</v>
      </c>
      <c r="GA76" s="766">
        <f t="shared" si="85"/>
        <v>3.3305896610692733</v>
      </c>
      <c r="GB76" s="766">
        <f t="shared" si="86"/>
        <v>71.071984580855755</v>
      </c>
      <c r="GC76" s="766">
        <f t="shared" si="87"/>
        <v>11.521232586521311</v>
      </c>
      <c r="GD76" s="766">
        <f t="shared" si="88"/>
        <v>19.965672949313248</v>
      </c>
      <c r="GE76" s="766">
        <f t="shared" si="89"/>
        <v>9.0753058860514759</v>
      </c>
      <c r="GF76" s="766">
        <f t="shared" si="90"/>
        <v>5.248706632947159</v>
      </c>
      <c r="GG76" s="766">
        <f t="shared" si="91"/>
        <v>3.5239049035945458</v>
      </c>
    </row>
    <row r="77" spans="1:189" ht="23" customHeight="1">
      <c r="B77" s="840"/>
      <c r="C77" s="862" t="s">
        <v>1672</v>
      </c>
      <c r="D77" s="863"/>
      <c r="E77" s="863"/>
      <c r="F77" s="863"/>
      <c r="G77" s="863"/>
      <c r="H77" s="863"/>
      <c r="I77" s="863"/>
      <c r="J77" s="863"/>
      <c r="K77" s="863"/>
      <c r="L77" s="863"/>
      <c r="M77" s="863"/>
      <c r="N77" s="863"/>
      <c r="O77" s="863"/>
      <c r="P77" s="863"/>
      <c r="Q77" s="863"/>
      <c r="R77" s="863"/>
      <c r="S77" s="843"/>
      <c r="T77" s="177"/>
      <c r="U77" s="177"/>
      <c r="V77" s="842"/>
      <c r="W77" s="842"/>
      <c r="X77" s="842"/>
      <c r="Y77" s="842"/>
      <c r="Z77" s="842"/>
      <c r="AA77" s="842"/>
      <c r="AB77" s="842"/>
      <c r="AC77" s="842"/>
      <c r="AD77" s="163"/>
      <c r="AE77" s="834" t="str">
        <f>IF(OR(X9&gt;30,Z9&gt;30),"At least one SAR value exceeds the graph axis","")</f>
        <v>At least one SAR value exceeds the graph axis</v>
      </c>
      <c r="AF77" s="834"/>
      <c r="AG77" s="834"/>
      <c r="AH77" s="834"/>
      <c r="AI77" s="834"/>
      <c r="AJ77" s="834"/>
      <c r="AK77" s="168"/>
      <c r="AL77" s="834"/>
      <c r="AQ77">
        <v>1</v>
      </c>
      <c r="AR77">
        <v>2</v>
      </c>
      <c r="AS77">
        <v>3</v>
      </c>
      <c r="AW77" s="59">
        <v>1</v>
      </c>
      <c r="AX77" s="59">
        <v>2</v>
      </c>
      <c r="AY77" s="59">
        <v>3</v>
      </c>
      <c r="BA77" s="699"/>
      <c r="BC77" s="59">
        <v>1</v>
      </c>
      <c r="BD77" s="59">
        <v>2</v>
      </c>
      <c r="BE77" s="59">
        <v>3</v>
      </c>
      <c r="BY77" s="753" t="b">
        <f t="shared" si="94"/>
        <v>0</v>
      </c>
      <c r="BZ77" s="753">
        <f t="shared" si="19"/>
        <v>29.811994154527603</v>
      </c>
      <c r="CA77" s="751">
        <v>56</v>
      </c>
      <c r="CB77" s="752">
        <f t="shared" si="102"/>
        <v>35</v>
      </c>
      <c r="CC77" s="673">
        <f t="shared" si="20"/>
        <v>5.1880058454723974</v>
      </c>
      <c r="CD77" s="91">
        <f t="shared" si="9"/>
        <v>2</v>
      </c>
      <c r="CE77" s="752" t="b">
        <f t="shared" si="21"/>
        <v>0</v>
      </c>
      <c r="CF77" s="673"/>
      <c r="CG77" s="752">
        <f t="shared" si="22"/>
        <v>5.1880058454723974</v>
      </c>
      <c r="CH77" s="752">
        <f t="shared" si="23"/>
        <v>3.6875728935732634E-2</v>
      </c>
      <c r="CI77" s="752">
        <f t="shared" si="24"/>
        <v>2.4663944406762691E-3</v>
      </c>
      <c r="CJ77" s="755">
        <f t="shared" si="25"/>
        <v>5.2535269666061799</v>
      </c>
      <c r="CK77" s="755">
        <f t="shared" si="26"/>
        <v>2.600961304939418</v>
      </c>
      <c r="CL77" s="755">
        <f t="shared" si="27"/>
        <v>4.5639916604492479</v>
      </c>
      <c r="CM77" s="755">
        <f t="shared" si="28"/>
        <v>8.9745847367180964</v>
      </c>
      <c r="CN77" s="755">
        <f t="shared" si="29"/>
        <v>2.4753530335013711</v>
      </c>
      <c r="CO77" s="755">
        <f t="shared" si="30"/>
        <v>3.5219517645836884</v>
      </c>
      <c r="CP77" s="755">
        <f t="shared" ref="CP77:CP121" si="144">CH77*($AB$7+$AC$7)</f>
        <v>46.094661169665791</v>
      </c>
      <c r="CQ77" s="755">
        <f t="shared" si="32"/>
        <v>7.4722454348863439</v>
      </c>
      <c r="CR77" s="755">
        <f t="shared" ref="CR77:CR121" si="145">$W$7/CH77</f>
        <v>30.784476205973778</v>
      </c>
      <c r="CS77" s="755">
        <f t="shared" si="33"/>
        <v>13.992943729988079</v>
      </c>
      <c r="CT77" s="755">
        <f t="shared" ref="CT77:CT121" si="146">((100*(-0.0126+0.01475*($X$7*((1/CH77)^0.25))))/(1+(-0.0126+0.01475*($X$7*((1/CH77)^0.25)))))</f>
        <v>5.1880058454723974</v>
      </c>
      <c r="CU77" s="755">
        <f t="shared" ref="CU77:CU121" si="147">((100*(-0.0126+0.01475*CO77)/(1+(-0.0126+0.01475*CO77))))</f>
        <v>3.7859079610178559</v>
      </c>
      <c r="CX77" s="755"/>
      <c r="CY77" s="755"/>
      <c r="CZ77" s="755"/>
      <c r="DA77" s="755"/>
      <c r="DB77" s="755"/>
      <c r="DC77" s="755"/>
      <c r="DD77" s="755" t="b">
        <f t="shared" si="96"/>
        <v>0</v>
      </c>
      <c r="DE77" s="755">
        <f t="shared" si="36"/>
        <v>17.467168338272508</v>
      </c>
      <c r="DF77" s="755">
        <v>56</v>
      </c>
      <c r="DG77" s="755">
        <f t="shared" si="97"/>
        <v>22</v>
      </c>
      <c r="DH77" s="673">
        <f t="shared" si="37"/>
        <v>4.5328316617274913</v>
      </c>
      <c r="DI77" s="673">
        <f t="shared" si="38"/>
        <v>2</v>
      </c>
      <c r="DJ77" s="766" t="b">
        <f t="shared" si="39"/>
        <v>0</v>
      </c>
      <c r="DK77" s="673"/>
      <c r="DL77" s="766">
        <f t="shared" si="40"/>
        <v>4.5328316617274913</v>
      </c>
      <c r="DM77" s="766">
        <f t="shared" si="41"/>
        <v>5.8123675594779108E-2</v>
      </c>
      <c r="DN77" s="766">
        <f t="shared" si="42"/>
        <v>3.8875410600960909E-3</v>
      </c>
      <c r="DO77" s="766">
        <f t="shared" si="43"/>
        <v>5.075139575248472</v>
      </c>
      <c r="DP77" s="766">
        <f t="shared" si="44"/>
        <v>2.5571990799154092</v>
      </c>
      <c r="DQ77" s="766">
        <f t="shared" si="45"/>
        <v>4.0732562082858337</v>
      </c>
      <c r="DR77" s="766">
        <f t="shared" si="46"/>
        <v>8.0096077546351108</v>
      </c>
      <c r="DS77" s="766">
        <f t="shared" si="47"/>
        <v>2.330322113668549</v>
      </c>
      <c r="DT77" s="766">
        <f t="shared" si="48"/>
        <v>3.3211227314659384</v>
      </c>
      <c r="DU77" s="766">
        <f t="shared" si="49"/>
        <v>72.65459449347388</v>
      </c>
      <c r="DV77" s="766">
        <f t="shared" si="50"/>
        <v>11.777783983032039</v>
      </c>
      <c r="DW77" s="766">
        <f t="shared" si="51"/>
        <v>19.530767598289465</v>
      </c>
      <c r="DX77" s="766">
        <f t="shared" si="52"/>
        <v>8.8776216355861202</v>
      </c>
      <c r="DY77" s="766">
        <f t="shared" si="53"/>
        <v>4.5328316617274913</v>
      </c>
      <c r="DZ77" s="766">
        <f t="shared" si="54"/>
        <v>3.5109062277854854</v>
      </c>
      <c r="EB77" s="755"/>
      <c r="EC77" s="755"/>
      <c r="ED77" s="755"/>
      <c r="EE77" s="755"/>
      <c r="EF77" s="755" t="b">
        <f t="shared" si="98"/>
        <v>0</v>
      </c>
      <c r="EG77" s="755">
        <f t="shared" si="55"/>
        <v>29.811994154527603</v>
      </c>
      <c r="EH77" s="755">
        <v>56</v>
      </c>
      <c r="EI77" s="755">
        <f t="shared" si="103"/>
        <v>35</v>
      </c>
      <c r="EJ77" s="673">
        <f t="shared" si="56"/>
        <v>5.1880058454723974</v>
      </c>
      <c r="EK77" s="673">
        <f t="shared" si="57"/>
        <v>2.2510196371999172</v>
      </c>
      <c r="EL77" s="755" t="b">
        <f t="shared" si="58"/>
        <v>0</v>
      </c>
      <c r="EM77" s="673"/>
      <c r="EN77" s="755">
        <f t="shared" si="59"/>
        <v>5.1880058454723974</v>
      </c>
      <c r="EO77" s="755">
        <f t="shared" si="60"/>
        <v>3.6875728935732634E-2</v>
      </c>
      <c r="EP77" s="755">
        <f t="shared" si="61"/>
        <v>2.4663944406762691E-3</v>
      </c>
      <c r="EQ77" s="755">
        <f t="shared" si="62"/>
        <v>5.2535269666061799</v>
      </c>
      <c r="ER77" s="755">
        <f t="shared" si="63"/>
        <v>2.600961304939418</v>
      </c>
      <c r="ES77" s="755">
        <f t="shared" si="64"/>
        <v>4.5639916604492479</v>
      </c>
      <c r="ET77" s="755">
        <f t="shared" si="65"/>
        <v>8.9745847367180964</v>
      </c>
      <c r="EU77" s="755">
        <f t="shared" si="66"/>
        <v>2.4753530335013711</v>
      </c>
      <c r="EV77" s="755">
        <f t="shared" si="67"/>
        <v>3.5219517645836884</v>
      </c>
      <c r="EW77" s="755">
        <f t="shared" si="68"/>
        <v>46.094661169665791</v>
      </c>
      <c r="EX77" s="755">
        <f t="shared" si="69"/>
        <v>7.4722454348863439</v>
      </c>
      <c r="EY77" s="755">
        <f t="shared" si="99"/>
        <v>30.784476205973778</v>
      </c>
      <c r="EZ77" s="755">
        <f t="shared" si="70"/>
        <v>13.992943729988079</v>
      </c>
      <c r="FA77" s="755">
        <f t="shared" si="71"/>
        <v>5.1880058454723974</v>
      </c>
      <c r="FB77" s="755">
        <f t="shared" si="72"/>
        <v>3.7859079610178559</v>
      </c>
      <c r="FC77" s="755"/>
      <c r="FD77" s="755"/>
      <c r="FE77" s="755"/>
      <c r="FF77" s="755"/>
      <c r="FG77" s="755"/>
      <c r="FH77" s="755"/>
      <c r="FI77" s="755"/>
      <c r="FJ77" s="755"/>
      <c r="FK77" s="755" t="b">
        <f t="shared" si="100"/>
        <v>0</v>
      </c>
      <c r="FL77" s="755">
        <f t="shared" si="73"/>
        <v>18.489093772214513</v>
      </c>
      <c r="FM77" s="755">
        <v>56</v>
      </c>
      <c r="FN77" s="767">
        <f t="shared" si="101"/>
        <v>22</v>
      </c>
      <c r="FO77" s="673">
        <f t="shared" si="74"/>
        <v>3.5109062277854854</v>
      </c>
      <c r="FP77" s="673">
        <f t="shared" si="75"/>
        <v>2.2510196371999172</v>
      </c>
      <c r="FQ77" s="766" t="b">
        <f t="shared" si="76"/>
        <v>0</v>
      </c>
      <c r="FR77" s="673"/>
      <c r="FS77" s="767">
        <f t="shared" si="77"/>
        <v>3.5109062277854854</v>
      </c>
      <c r="FT77" s="766">
        <f t="shared" si="78"/>
        <v>5.8123675594779108E-2</v>
      </c>
      <c r="FU77" s="766">
        <f t="shared" si="79"/>
        <v>3.8875410600960909E-3</v>
      </c>
      <c r="FV77" s="766">
        <f t="shared" si="80"/>
        <v>5.075139575248472</v>
      </c>
      <c r="FW77" s="766">
        <f t="shared" si="81"/>
        <v>2.5571990799154092</v>
      </c>
      <c r="FX77" s="766">
        <f t="shared" si="82"/>
        <v>4.5844898560989433</v>
      </c>
      <c r="FY77" s="766">
        <f t="shared" si="83"/>
        <v>9.0148921709761858</v>
      </c>
      <c r="FZ77" s="766">
        <f t="shared" si="84"/>
        <v>2.330322113668549</v>
      </c>
      <c r="GA77" s="766">
        <f t="shared" si="85"/>
        <v>3.3211227314659384</v>
      </c>
      <c r="GB77" s="766">
        <f t="shared" si="86"/>
        <v>72.65459449347388</v>
      </c>
      <c r="GC77" s="766">
        <f t="shared" si="87"/>
        <v>11.777783983032039</v>
      </c>
      <c r="GD77" s="766">
        <f t="shared" si="88"/>
        <v>19.530767598289465</v>
      </c>
      <c r="GE77" s="766">
        <f t="shared" si="89"/>
        <v>8.8776216355861202</v>
      </c>
      <c r="GF77" s="766">
        <f t="shared" si="90"/>
        <v>5.2151771029795375</v>
      </c>
      <c r="GG77" s="766">
        <f t="shared" si="91"/>
        <v>3.5109062277854854</v>
      </c>
    </row>
    <row r="78" spans="1:189">
      <c r="B78" s="315"/>
      <c r="C78" s="841" t="s">
        <v>1673</v>
      </c>
      <c r="D78" s="161"/>
      <c r="E78" s="161"/>
      <c r="F78" s="161"/>
      <c r="G78" s="161"/>
      <c r="H78" s="177"/>
      <c r="I78" s="177"/>
      <c r="J78" s="161"/>
      <c r="K78" s="161"/>
      <c r="L78" s="161"/>
      <c r="M78" s="161"/>
      <c r="N78" s="177"/>
      <c r="O78" s="177"/>
      <c r="P78" s="161"/>
      <c r="Q78" s="161"/>
      <c r="R78" s="161"/>
      <c r="S78" s="161"/>
      <c r="T78" s="177"/>
      <c r="U78" s="177"/>
      <c r="V78" s="842"/>
      <c r="W78" s="842"/>
      <c r="X78" s="842"/>
      <c r="Y78" s="842"/>
      <c r="Z78" s="842"/>
      <c r="AA78" s="842"/>
      <c r="AB78" s="842"/>
      <c r="AC78" s="842"/>
      <c r="AD78" s="161"/>
      <c r="AE78" s="161"/>
      <c r="AF78" s="161"/>
      <c r="AG78" s="161"/>
      <c r="AH78" s="161"/>
      <c r="AI78" s="161"/>
      <c r="AJ78" s="161"/>
      <c r="AK78" s="168"/>
      <c r="AN78" t="b">
        <v>0</v>
      </c>
      <c r="AO78" s="1060" t="s">
        <v>13</v>
      </c>
      <c r="AP78" s="1061"/>
      <c r="AQ78" s="78">
        <f>0.03/(2.2*(10^(AS10+(AT10*(LOG((0.03*AB7)/V30))))))</f>
        <v>7.7109788435313405E-3</v>
      </c>
      <c r="AR78" s="78">
        <f>0.03/(2.2*(10^(AS11+(AT11*(LOG((0.03*AB8)/V50))))))</f>
        <v>2.7165051980364445E-2</v>
      </c>
      <c r="AS78" s="79">
        <f>0.03/(2.2*(10^(AS12+(AT12*(LOG((0.03*AB9)/V70))))))</f>
        <v>7.6564181805682061E-3</v>
      </c>
      <c r="AT78" t="b">
        <v>1</v>
      </c>
      <c r="AU78" s="1060" t="s">
        <v>548</v>
      </c>
      <c r="AV78" s="1061"/>
      <c r="AW78" s="72">
        <f>IF((100*(-0.0126+0.01475*X7))/(1+(-0.0126+0.01475*X7))&lt;0.5,0.5,(100*(-0.0126+0.01475*X7))/(1+(-0.0126+0.01475*X7)))</f>
        <v>1.6619136591601928</v>
      </c>
      <c r="AX78" s="72">
        <f>IF((100*(-0.0126+0.01475*X8))/(1+(-0.0126+0.01475*X8))&lt;0.5,0.5,(100*(-0.0126+0.01475*X8))/(1+(-0.0126+0.01475*X8)))</f>
        <v>21.113872125586717</v>
      </c>
      <c r="AY78" s="73">
        <f>IF((100*(-0.0126+0.01475*X9))/(1+(-0.0126+0.01475*X9))&lt;0.5,0.5,(100*(-0.0126+0.01475*X9))/(1+(-0.0126+0.01475*X9)))</f>
        <v>27.055219199066304</v>
      </c>
      <c r="AZ78" t="b">
        <v>1</v>
      </c>
      <c r="BA78" s="1060" t="s">
        <v>1546</v>
      </c>
      <c r="BB78" s="1061"/>
      <c r="BC78" s="74">
        <f>(W7/(2.2*((0.976*AQ82+0.022)^0.625)))</f>
        <v>4.2977952616334081</v>
      </c>
      <c r="BD78" s="74">
        <f>(W8/(2.2*((0.976*AR82+0.022)^0.625)))</f>
        <v>1.0833430011852809</v>
      </c>
      <c r="BE78" s="75">
        <f>(W9/(2.2*((0.976*AS82+0.022)^0.625)))</f>
        <v>7.5667634335456135</v>
      </c>
      <c r="BY78" s="753" t="b">
        <f t="shared" si="94"/>
        <v>0</v>
      </c>
      <c r="BZ78" s="753">
        <f t="shared" si="19"/>
        <v>30.29093184253335</v>
      </c>
      <c r="CA78" s="751">
        <v>57</v>
      </c>
      <c r="CB78" s="752">
        <f t="shared" si="102"/>
        <v>35.5</v>
      </c>
      <c r="CC78" s="673">
        <f t="shared" si="20"/>
        <v>5.2090681574666498</v>
      </c>
      <c r="CD78" s="91">
        <f t="shared" si="9"/>
        <v>2</v>
      </c>
      <c r="CE78" s="752" t="b">
        <f t="shared" si="21"/>
        <v>0</v>
      </c>
      <c r="CF78" s="673"/>
      <c r="CG78" s="752">
        <f t="shared" si="22"/>
        <v>5.2090681574666498</v>
      </c>
      <c r="CH78" s="752">
        <f t="shared" si="23"/>
        <v>3.6366667966784227E-2</v>
      </c>
      <c r="CI78" s="752">
        <f t="shared" si="24"/>
        <v>2.4323464318635403E-3</v>
      </c>
      <c r="CJ78" s="755">
        <f t="shared" si="25"/>
        <v>5.258002401879331</v>
      </c>
      <c r="CK78" s="755">
        <f t="shared" si="26"/>
        <v>2.602037500922139</v>
      </c>
      <c r="CL78" s="755">
        <f t="shared" si="27"/>
        <v>4.5798801988387243</v>
      </c>
      <c r="CM78" s="755">
        <f t="shared" si="28"/>
        <v>9.0058277898889951</v>
      </c>
      <c r="CN78" s="755">
        <f t="shared" si="29"/>
        <v>2.4799087491731129</v>
      </c>
      <c r="CO78" s="755">
        <f t="shared" si="30"/>
        <v>3.5282636683542137</v>
      </c>
      <c r="CP78" s="755">
        <f t="shared" si="144"/>
        <v>45.458334958480286</v>
      </c>
      <c r="CQ78" s="755">
        <f t="shared" si="32"/>
        <v>7.3690928027598606</v>
      </c>
      <c r="CR78" s="755">
        <f t="shared" si="145"/>
        <v>31.215397600815216</v>
      </c>
      <c r="CS78" s="755">
        <f t="shared" si="33"/>
        <v>14.188817091279642</v>
      </c>
      <c r="CT78" s="755">
        <f t="shared" si="146"/>
        <v>5.2090681574666498</v>
      </c>
      <c r="CU78" s="755">
        <f t="shared" si="147"/>
        <v>3.7945256508820608</v>
      </c>
      <c r="CX78" s="755"/>
      <c r="CY78" s="755"/>
      <c r="CZ78" s="755"/>
      <c r="DA78" s="755"/>
      <c r="DB78" s="755"/>
      <c r="DC78" s="755"/>
      <c r="DD78" s="755" t="b">
        <f t="shared" si="96"/>
        <v>0</v>
      </c>
      <c r="DE78" s="755">
        <f t="shared" si="36"/>
        <v>16.997933218147807</v>
      </c>
      <c r="DF78" s="755">
        <v>57</v>
      </c>
      <c r="DG78" s="755">
        <f t="shared" si="97"/>
        <v>21.5</v>
      </c>
      <c r="DH78" s="673">
        <f t="shared" si="37"/>
        <v>4.5020667818521938</v>
      </c>
      <c r="DI78" s="673">
        <f t="shared" si="38"/>
        <v>2</v>
      </c>
      <c r="DJ78" s="766" t="b">
        <f t="shared" si="39"/>
        <v>0</v>
      </c>
      <c r="DK78" s="673"/>
      <c r="DL78" s="766">
        <f t="shared" si="40"/>
        <v>4.5020667818521938</v>
      </c>
      <c r="DM78" s="766">
        <f t="shared" si="41"/>
        <v>5.9448049055725052E-2</v>
      </c>
      <c r="DN78" s="766">
        <f t="shared" si="42"/>
        <v>3.9761203895284395E-3</v>
      </c>
      <c r="DO78" s="766">
        <f t="shared" si="43"/>
        <v>5.0645371150545779</v>
      </c>
      <c r="DP78" s="766">
        <f t="shared" si="44"/>
        <v>2.5545439992919703</v>
      </c>
      <c r="DQ78" s="766">
        <f t="shared" si="45"/>
        <v>4.0503783592624343</v>
      </c>
      <c r="DR78" s="766">
        <f t="shared" si="46"/>
        <v>7.9646209952521776</v>
      </c>
      <c r="DS78" s="766">
        <f t="shared" si="47"/>
        <v>2.3233431294370068</v>
      </c>
      <c r="DT78" s="766">
        <f t="shared" si="48"/>
        <v>3.3114642865692225</v>
      </c>
      <c r="DU78" s="766">
        <f t="shared" si="49"/>
        <v>74.310061319656313</v>
      </c>
      <c r="DV78" s="766">
        <f t="shared" si="50"/>
        <v>12.046145960767719</v>
      </c>
      <c r="DW78" s="766">
        <f t="shared" si="51"/>
        <v>19.095664500880307</v>
      </c>
      <c r="DX78" s="766">
        <f t="shared" si="52"/>
        <v>8.6798475004001396</v>
      </c>
      <c r="DY78" s="766">
        <f t="shared" si="53"/>
        <v>4.5020667818521938</v>
      </c>
      <c r="DZ78" s="766">
        <f t="shared" si="54"/>
        <v>3.4976409794673704</v>
      </c>
      <c r="EB78" s="755"/>
      <c r="EC78" s="755"/>
      <c r="ED78" s="755"/>
      <c r="EE78" s="755"/>
      <c r="EF78" s="755" t="b">
        <f t="shared" si="98"/>
        <v>0</v>
      </c>
      <c r="EG78" s="755">
        <f t="shared" si="55"/>
        <v>30.29093184253335</v>
      </c>
      <c r="EH78" s="755">
        <v>57</v>
      </c>
      <c r="EI78" s="755">
        <f t="shared" si="103"/>
        <v>35.5</v>
      </c>
      <c r="EJ78" s="673">
        <f t="shared" si="56"/>
        <v>5.2090681574666498</v>
      </c>
      <c r="EK78" s="673">
        <f t="shared" si="57"/>
        <v>2.2510196371999172</v>
      </c>
      <c r="EL78" s="755" t="b">
        <f t="shared" si="58"/>
        <v>0</v>
      </c>
      <c r="EM78" s="673"/>
      <c r="EN78" s="755">
        <f t="shared" si="59"/>
        <v>5.2090681574666498</v>
      </c>
      <c r="EO78" s="755">
        <f t="shared" si="60"/>
        <v>3.6366667966784227E-2</v>
      </c>
      <c r="EP78" s="755">
        <f t="shared" si="61"/>
        <v>2.4323464318635403E-3</v>
      </c>
      <c r="EQ78" s="755">
        <f t="shared" si="62"/>
        <v>5.258002401879331</v>
      </c>
      <c r="ER78" s="755">
        <f t="shared" si="63"/>
        <v>2.602037500922139</v>
      </c>
      <c r="ES78" s="755">
        <f t="shared" si="64"/>
        <v>4.5798801988387243</v>
      </c>
      <c r="ET78" s="755">
        <f t="shared" si="65"/>
        <v>9.0058277898889951</v>
      </c>
      <c r="EU78" s="755">
        <f t="shared" si="66"/>
        <v>2.4799087491731129</v>
      </c>
      <c r="EV78" s="755">
        <f t="shared" si="67"/>
        <v>3.5282636683542137</v>
      </c>
      <c r="EW78" s="755">
        <f t="shared" si="68"/>
        <v>45.458334958480286</v>
      </c>
      <c r="EX78" s="755">
        <f t="shared" si="69"/>
        <v>7.3690928027598606</v>
      </c>
      <c r="EY78" s="755">
        <f t="shared" si="99"/>
        <v>31.215397600815216</v>
      </c>
      <c r="EZ78" s="755">
        <f t="shared" si="70"/>
        <v>14.188817091279642</v>
      </c>
      <c r="FA78" s="755">
        <f t="shared" si="71"/>
        <v>5.2090681574666498</v>
      </c>
      <c r="FB78" s="755">
        <f t="shared" si="72"/>
        <v>3.7945256508820608</v>
      </c>
      <c r="FC78" s="755"/>
      <c r="FD78" s="755"/>
      <c r="FE78" s="755"/>
      <c r="FF78" s="755"/>
      <c r="FG78" s="755"/>
      <c r="FH78" s="755"/>
      <c r="FI78" s="755"/>
      <c r="FJ78" s="755"/>
      <c r="FK78" s="755" t="b">
        <f t="shared" si="100"/>
        <v>0</v>
      </c>
      <c r="FL78" s="755">
        <f t="shared" si="73"/>
        <v>18.00235902053263</v>
      </c>
      <c r="FM78" s="755">
        <v>57</v>
      </c>
      <c r="FN78" s="767">
        <f t="shared" si="101"/>
        <v>21.5</v>
      </c>
      <c r="FO78" s="673">
        <f t="shared" si="74"/>
        <v>3.4976409794673704</v>
      </c>
      <c r="FP78" s="673">
        <f t="shared" si="75"/>
        <v>2.2510196371999172</v>
      </c>
      <c r="FQ78" s="766" t="b">
        <f t="shared" si="76"/>
        <v>0</v>
      </c>
      <c r="FR78" s="673"/>
      <c r="FS78" s="767">
        <f t="shared" si="77"/>
        <v>3.4976409794673704</v>
      </c>
      <c r="FT78" s="766">
        <f t="shared" si="78"/>
        <v>5.9448049055725052E-2</v>
      </c>
      <c r="FU78" s="766">
        <f t="shared" si="79"/>
        <v>3.9761203895284395E-3</v>
      </c>
      <c r="FV78" s="766">
        <f t="shared" si="80"/>
        <v>5.0645371150545779</v>
      </c>
      <c r="FW78" s="766">
        <f t="shared" si="81"/>
        <v>2.5545439992919703</v>
      </c>
      <c r="FX78" s="766">
        <f t="shared" si="82"/>
        <v>4.5587406123946606</v>
      </c>
      <c r="FY78" s="766">
        <f t="shared" si="83"/>
        <v>8.9642591315837006</v>
      </c>
      <c r="FZ78" s="766">
        <f t="shared" si="84"/>
        <v>2.3233431294370068</v>
      </c>
      <c r="GA78" s="766">
        <f t="shared" si="85"/>
        <v>3.3114642865692225</v>
      </c>
      <c r="GB78" s="766">
        <f t="shared" si="86"/>
        <v>74.310061319656313</v>
      </c>
      <c r="GC78" s="766">
        <f t="shared" si="87"/>
        <v>12.046145960767719</v>
      </c>
      <c r="GD78" s="766">
        <f t="shared" si="88"/>
        <v>19.095664500880307</v>
      </c>
      <c r="GE78" s="766">
        <f t="shared" si="89"/>
        <v>8.6798475004001396</v>
      </c>
      <c r="GF78" s="766">
        <f t="shared" si="90"/>
        <v>5.1810428442947973</v>
      </c>
      <c r="GG78" s="766">
        <f t="shared" si="91"/>
        <v>3.4976409794673704</v>
      </c>
    </row>
    <row r="79" spans="1:189" ht="20.399999999999999" customHeight="1">
      <c r="B79" s="315"/>
      <c r="C79" s="851" t="s">
        <v>1674</v>
      </c>
      <c r="D79" s="161"/>
      <c r="E79" s="161"/>
      <c r="F79" s="161"/>
      <c r="G79" s="161"/>
      <c r="H79" s="177"/>
      <c r="I79" s="177"/>
      <c r="J79" s="161"/>
      <c r="K79" s="161"/>
      <c r="L79" s="161"/>
      <c r="M79" s="161"/>
      <c r="N79" s="177"/>
      <c r="O79" s="177"/>
      <c r="P79" s="161"/>
      <c r="Q79" s="161"/>
      <c r="R79" s="161"/>
      <c r="S79" s="161"/>
      <c r="T79" s="177"/>
      <c r="U79" s="177"/>
      <c r="V79" s="842"/>
      <c r="W79" s="842"/>
      <c r="X79" s="842"/>
      <c r="Y79" s="842"/>
      <c r="Z79" s="842"/>
      <c r="AA79" s="842"/>
      <c r="AB79" s="842"/>
      <c r="AC79" s="161"/>
      <c r="AD79" s="161"/>
      <c r="AE79" s="161"/>
      <c r="AF79" s="161"/>
      <c r="AG79" s="161"/>
      <c r="AH79" s="161"/>
      <c r="AI79" s="161"/>
      <c r="AJ79" s="161"/>
      <c r="AK79" s="168"/>
      <c r="AN79" t="b">
        <v>0</v>
      </c>
      <c r="AO79" s="1060" t="s">
        <v>535</v>
      </c>
      <c r="AP79" s="1061"/>
      <c r="AQ79" s="74">
        <f>AQ78*AB7</f>
        <v>6.1687830748250727</v>
      </c>
      <c r="AR79" s="74">
        <f>AR78*AB8</f>
        <v>24.557206990249458</v>
      </c>
      <c r="AS79" s="75">
        <f>AS78*AB9</f>
        <v>6.9214020352336583</v>
      </c>
      <c r="AT79" t="b">
        <v>1</v>
      </c>
      <c r="AU79" s="1060" t="s">
        <v>545</v>
      </c>
      <c r="AV79" s="1061"/>
      <c r="AW79" s="74">
        <f>IF((100*(-0.0126+0.01475*Z7))/(1+(-0.0126+0.01475*Z7))&lt;0.5,0.5,(100*(-0.0126+0.01475*Z7))/(1+(-0.0126+0.01475*Z7)))</f>
        <v>2.018664352509878</v>
      </c>
      <c r="AX79" s="74">
        <f>IF((100*(-0.0126+0.01475*Z8))/(1+(-0.0126+0.01475*Z8))&lt;0.5,0.5,(100*(-0.0126+0.01475*Z8))/(1+(-0.0126+0.01475*Z8)))</f>
        <v>25.780467646127843</v>
      </c>
      <c r="AY79" s="75">
        <f>IF((100*(-0.0126+0.01475*Z9))/(1+(-0.0126+0.01475*Z9))&lt;0.5,0.5,(100*(-0.0126+0.01475*Z9))/(1+(-0.0126+0.01475*Z9)))</f>
        <v>31.184295445831442</v>
      </c>
      <c r="AZ79" t="b">
        <v>1</v>
      </c>
      <c r="BA79" s="1060" t="s">
        <v>1547</v>
      </c>
      <c r="BB79" s="1061"/>
      <c r="BC79" s="74">
        <f>(W7/(2.2*((0.956*AQ82+0.037)^0.5)))</f>
        <v>2.3450688288332429</v>
      </c>
      <c r="BD79" s="74">
        <f>W8/(2.2*((0.956*AR82+0.037)^0.5))</f>
        <v>0.6869744725758623</v>
      </c>
      <c r="BE79" s="75">
        <f>W9/(2.2*((0.956*AS82+0.037)^0.5))</f>
        <v>4.1427811593844721</v>
      </c>
      <c r="BY79" s="753" t="b">
        <f t="shared" si="94"/>
        <v>0</v>
      </c>
      <c r="BZ79" s="753">
        <f t="shared" si="19"/>
        <v>30.770101534402642</v>
      </c>
      <c r="CA79" s="751">
        <v>58</v>
      </c>
      <c r="CB79" s="752">
        <f t="shared" si="102"/>
        <v>36</v>
      </c>
      <c r="CC79" s="673">
        <f t="shared" si="20"/>
        <v>5.2298984655973602</v>
      </c>
      <c r="CD79" s="91">
        <f t="shared" si="9"/>
        <v>2</v>
      </c>
      <c r="CE79" s="752" t="b">
        <f t="shared" si="21"/>
        <v>0</v>
      </c>
      <c r="CF79" s="673"/>
      <c r="CG79" s="752">
        <f t="shared" si="22"/>
        <v>5.2298984655973602</v>
      </c>
      <c r="CH79" s="752">
        <f t="shared" si="23"/>
        <v>3.5871608132687971E-2</v>
      </c>
      <c r="CI79" s="752">
        <f t="shared" si="24"/>
        <v>2.3992348742657198E-3</v>
      </c>
      <c r="CJ79" s="755">
        <f t="shared" si="25"/>
        <v>5.2623642656459664</v>
      </c>
      <c r="CK79" s="755">
        <f t="shared" si="26"/>
        <v>2.6030853796927333</v>
      </c>
      <c r="CL79" s="755">
        <f t="shared" si="27"/>
        <v>4.5956006691742157</v>
      </c>
      <c r="CM79" s="755">
        <f t="shared" si="28"/>
        <v>9.0367403558232287</v>
      </c>
      <c r="CN79" s="755">
        <f t="shared" si="29"/>
        <v>2.484408151904772</v>
      </c>
      <c r="CO79" s="755">
        <f t="shared" si="30"/>
        <v>3.5344977502029034</v>
      </c>
      <c r="CP79" s="755">
        <f t="shared" si="144"/>
        <v>44.839510165859963</v>
      </c>
      <c r="CQ79" s="755">
        <f t="shared" si="32"/>
        <v>7.2687772648143358</v>
      </c>
      <c r="CR79" s="755">
        <f t="shared" si="145"/>
        <v>31.646197622390673</v>
      </c>
      <c r="CS79" s="755">
        <f t="shared" si="33"/>
        <v>14.384635282904851</v>
      </c>
      <c r="CT79" s="755">
        <f t="shared" si="146"/>
        <v>5.2298984655973602</v>
      </c>
      <c r="CU79" s="755">
        <f t="shared" si="147"/>
        <v>3.8030355747196243</v>
      </c>
      <c r="CX79" s="755"/>
      <c r="CY79" s="755"/>
      <c r="CZ79" s="755"/>
      <c r="DA79" s="755"/>
      <c r="DB79" s="755"/>
      <c r="DC79" s="755"/>
      <c r="DD79" s="755" t="b">
        <f t="shared" si="96"/>
        <v>0</v>
      </c>
      <c r="DE79" s="755">
        <f t="shared" si="36"/>
        <v>16.529263475490897</v>
      </c>
      <c r="DF79" s="755">
        <v>58</v>
      </c>
      <c r="DG79" s="755">
        <f t="shared" si="97"/>
        <v>21</v>
      </c>
      <c r="DH79" s="673">
        <f t="shared" si="37"/>
        <v>4.4707365245091042</v>
      </c>
      <c r="DI79" s="673">
        <f t="shared" si="38"/>
        <v>2</v>
      </c>
      <c r="DJ79" s="766" t="b">
        <f t="shared" si="39"/>
        <v>0</v>
      </c>
      <c r="DK79" s="673"/>
      <c r="DL79" s="766">
        <f t="shared" si="40"/>
        <v>4.4707365245091042</v>
      </c>
      <c r="DM79" s="766">
        <f t="shared" si="41"/>
        <v>6.0834842575317259E-2</v>
      </c>
      <c r="DN79" s="766">
        <f t="shared" si="42"/>
        <v>4.0688746190936141E-3</v>
      </c>
      <c r="DO79" s="766">
        <f t="shared" si="43"/>
        <v>5.0534964523890347</v>
      </c>
      <c r="DP79" s="766">
        <f t="shared" si="44"/>
        <v>2.5517726249365862</v>
      </c>
      <c r="DQ79" s="766">
        <f t="shared" si="45"/>
        <v>4.0270952197830514</v>
      </c>
      <c r="DR79" s="766">
        <f t="shared" si="46"/>
        <v>7.9188372770203239</v>
      </c>
      <c r="DS79" s="766">
        <f t="shared" si="47"/>
        <v>2.3162192438853406</v>
      </c>
      <c r="DT79" s="766">
        <f t="shared" si="48"/>
        <v>3.3016058563253732</v>
      </c>
      <c r="DU79" s="766">
        <f t="shared" si="49"/>
        <v>76.043553219146574</v>
      </c>
      <c r="DV79" s="766">
        <f t="shared" si="50"/>
        <v>12.327156312155283</v>
      </c>
      <c r="DW79" s="766">
        <f t="shared" si="51"/>
        <v>18.660358964429847</v>
      </c>
      <c r="DX79" s="766">
        <f t="shared" si="52"/>
        <v>8.4819813474681123</v>
      </c>
      <c r="DY79" s="766">
        <f t="shared" si="53"/>
        <v>4.4707365245091042</v>
      </c>
      <c r="DZ79" s="766">
        <f t="shared" si="54"/>
        <v>3.4840973022459591</v>
      </c>
      <c r="EB79" s="755"/>
      <c r="EC79" s="755"/>
      <c r="ED79" s="755"/>
      <c r="EE79" s="755"/>
      <c r="EF79" s="755" t="b">
        <f t="shared" si="98"/>
        <v>0</v>
      </c>
      <c r="EG79" s="755">
        <f t="shared" si="55"/>
        <v>30.770101534402642</v>
      </c>
      <c r="EH79" s="755">
        <v>58</v>
      </c>
      <c r="EI79" s="755">
        <f t="shared" si="103"/>
        <v>36</v>
      </c>
      <c r="EJ79" s="673">
        <f t="shared" si="56"/>
        <v>5.2298984655973602</v>
      </c>
      <c r="EK79" s="673">
        <f t="shared" si="57"/>
        <v>2.2510196371999172</v>
      </c>
      <c r="EL79" s="755" t="b">
        <f t="shared" si="58"/>
        <v>0</v>
      </c>
      <c r="EM79" s="673"/>
      <c r="EN79" s="755">
        <f t="shared" si="59"/>
        <v>5.2298984655973602</v>
      </c>
      <c r="EO79" s="755">
        <f t="shared" si="60"/>
        <v>3.5871608132687971E-2</v>
      </c>
      <c r="EP79" s="755">
        <f t="shared" si="61"/>
        <v>2.3992348742657198E-3</v>
      </c>
      <c r="EQ79" s="755">
        <f t="shared" si="62"/>
        <v>5.2623642656459664</v>
      </c>
      <c r="ER79" s="755">
        <f t="shared" si="63"/>
        <v>2.6030853796927333</v>
      </c>
      <c r="ES79" s="755">
        <f t="shared" si="64"/>
        <v>4.5956006691742157</v>
      </c>
      <c r="ET79" s="755">
        <f t="shared" si="65"/>
        <v>9.0367403558232287</v>
      </c>
      <c r="EU79" s="755">
        <f t="shared" si="66"/>
        <v>2.484408151904772</v>
      </c>
      <c r="EV79" s="755">
        <f t="shared" si="67"/>
        <v>3.5344977502029034</v>
      </c>
      <c r="EW79" s="755">
        <f t="shared" si="68"/>
        <v>44.839510165859963</v>
      </c>
      <c r="EX79" s="755">
        <f t="shared" si="69"/>
        <v>7.2687772648143358</v>
      </c>
      <c r="EY79" s="755">
        <f t="shared" si="99"/>
        <v>31.646197622390673</v>
      </c>
      <c r="EZ79" s="755">
        <f t="shared" si="70"/>
        <v>14.384635282904851</v>
      </c>
      <c r="FA79" s="755">
        <f t="shared" si="71"/>
        <v>5.2298984655973602</v>
      </c>
      <c r="FB79" s="755">
        <f t="shared" si="72"/>
        <v>3.8030355747196243</v>
      </c>
      <c r="FC79" s="755"/>
      <c r="FD79" s="755"/>
      <c r="FE79" s="755"/>
      <c r="FF79" s="755"/>
      <c r="FG79" s="755"/>
      <c r="FH79" s="755"/>
      <c r="FI79" s="755"/>
      <c r="FJ79" s="755"/>
      <c r="FK79" s="755" t="b">
        <f t="shared" si="100"/>
        <v>0</v>
      </c>
      <c r="FL79" s="755">
        <f t="shared" si="73"/>
        <v>17.51590269775404</v>
      </c>
      <c r="FM79" s="755">
        <v>58</v>
      </c>
      <c r="FN79" s="767">
        <f t="shared" si="101"/>
        <v>21</v>
      </c>
      <c r="FO79" s="673">
        <f t="shared" si="74"/>
        <v>3.4840973022459591</v>
      </c>
      <c r="FP79" s="673">
        <f t="shared" si="75"/>
        <v>2.2510196371999172</v>
      </c>
      <c r="FQ79" s="766" t="b">
        <f t="shared" si="76"/>
        <v>0</v>
      </c>
      <c r="FR79" s="673"/>
      <c r="FS79" s="767">
        <f t="shared" si="77"/>
        <v>3.4840973022459591</v>
      </c>
      <c r="FT79" s="766">
        <f t="shared" si="78"/>
        <v>6.0834842575317259E-2</v>
      </c>
      <c r="FU79" s="766">
        <f t="shared" si="79"/>
        <v>4.0688746190936141E-3</v>
      </c>
      <c r="FV79" s="766">
        <f t="shared" si="80"/>
        <v>5.0534964523890347</v>
      </c>
      <c r="FW79" s="766">
        <f t="shared" si="81"/>
        <v>2.5517726249365862</v>
      </c>
      <c r="FX79" s="766">
        <f t="shared" si="82"/>
        <v>4.5325352103027825</v>
      </c>
      <c r="FY79" s="766">
        <f t="shared" si="83"/>
        <v>8.9127291071817343</v>
      </c>
      <c r="FZ79" s="766">
        <f t="shared" si="84"/>
        <v>2.3162192438853406</v>
      </c>
      <c r="GA79" s="766">
        <f t="shared" si="85"/>
        <v>3.3016058563253732</v>
      </c>
      <c r="GB79" s="766">
        <f t="shared" si="86"/>
        <v>76.043553219146574</v>
      </c>
      <c r="GC79" s="766">
        <f t="shared" si="87"/>
        <v>12.327156312155283</v>
      </c>
      <c r="GD79" s="766">
        <f t="shared" si="88"/>
        <v>18.660358964429847</v>
      </c>
      <c r="GE79" s="766">
        <f t="shared" si="89"/>
        <v>8.4819813474681123</v>
      </c>
      <c r="GF79" s="766">
        <f t="shared" si="90"/>
        <v>5.1462786317265019</v>
      </c>
      <c r="GG79" s="766">
        <f t="shared" si="91"/>
        <v>3.4840973022459591</v>
      </c>
    </row>
    <row r="80" spans="1:189" s="705" customFormat="1">
      <c r="A80" s="162"/>
      <c r="B80" s="315"/>
      <c r="C80" s="851" t="s">
        <v>1675</v>
      </c>
      <c r="D80" s="161"/>
      <c r="E80" s="161"/>
      <c r="F80" s="161"/>
      <c r="G80" s="161"/>
      <c r="H80" s="177"/>
      <c r="I80" s="177"/>
      <c r="J80" s="161"/>
      <c r="K80" s="161"/>
      <c r="L80" s="161"/>
      <c r="M80" s="161"/>
      <c r="N80" s="177"/>
      <c r="O80" s="177"/>
      <c r="P80" s="161"/>
      <c r="Q80" s="161"/>
      <c r="R80" s="161"/>
      <c r="S80" s="161"/>
      <c r="T80" s="177"/>
      <c r="U80" s="177"/>
      <c r="V80" s="708"/>
      <c r="W80" s="708"/>
      <c r="X80" s="708"/>
      <c r="Y80" s="708"/>
      <c r="Z80" s="708"/>
      <c r="AA80" s="708"/>
      <c r="AB80" s="161"/>
      <c r="AC80" s="161"/>
      <c r="AD80" s="161"/>
      <c r="AE80" s="161"/>
      <c r="AF80" s="161"/>
      <c r="AG80" s="161"/>
      <c r="AH80" s="161"/>
      <c r="AI80" s="161"/>
      <c r="AJ80" s="161"/>
      <c r="AK80" s="168"/>
      <c r="AO80" s="706"/>
      <c r="AP80" s="707"/>
      <c r="AQ80" s="709"/>
      <c r="AR80" s="709"/>
      <c r="AS80" s="710"/>
      <c r="AU80" s="706"/>
      <c r="AV80" s="707"/>
      <c r="AW80" s="711"/>
      <c r="AX80" s="711"/>
      <c r="AY80" s="711"/>
      <c r="BA80" s="712"/>
      <c r="BB80" s="713"/>
      <c r="BC80" s="711"/>
      <c r="BD80" s="711"/>
      <c r="BE80" s="711"/>
      <c r="BY80" s="753" t="b">
        <f t="shared" si="94"/>
        <v>0</v>
      </c>
      <c r="BZ80" s="753">
        <f t="shared" si="19"/>
        <v>31.249497533734953</v>
      </c>
      <c r="CA80" s="751">
        <v>59</v>
      </c>
      <c r="CB80" s="752">
        <f t="shared" si="102"/>
        <v>36.5</v>
      </c>
      <c r="CC80" s="673">
        <f t="shared" si="20"/>
        <v>5.2505024662650479</v>
      </c>
      <c r="CD80" s="91">
        <f t="shared" si="9"/>
        <v>2</v>
      </c>
      <c r="CE80" s="752" t="b">
        <f t="shared" si="21"/>
        <v>0</v>
      </c>
      <c r="CF80" s="673"/>
      <c r="CG80" s="752">
        <f t="shared" si="22"/>
        <v>5.2505024662650479</v>
      </c>
      <c r="CH80" s="752">
        <f t="shared" si="23"/>
        <v>3.538997780123531E-2</v>
      </c>
      <c r="CI80" s="752">
        <f t="shared" si="24"/>
        <v>2.3670215348622825E-3</v>
      </c>
      <c r="CJ80" s="755">
        <f t="shared" si="25"/>
        <v>5.2666168453547542</v>
      </c>
      <c r="CK80" s="755">
        <f t="shared" si="26"/>
        <v>2.6041060485230063</v>
      </c>
      <c r="CL80" s="755">
        <f t="shared" si="27"/>
        <v>4.6111571469726895</v>
      </c>
      <c r="CM80" s="755">
        <f t="shared" si="28"/>
        <v>9.0673304485740864</v>
      </c>
      <c r="CN80" s="755">
        <f t="shared" si="29"/>
        <v>2.488852706389836</v>
      </c>
      <c r="CO80" s="755">
        <f t="shared" si="30"/>
        <v>3.5406560315541036</v>
      </c>
      <c r="CP80" s="755">
        <f t="shared" si="144"/>
        <v>44.237472251544141</v>
      </c>
      <c r="CQ80" s="755">
        <f t="shared" si="32"/>
        <v>7.1711829894097185</v>
      </c>
      <c r="CR80" s="755">
        <f t="shared" si="145"/>
        <v>32.076877990027306</v>
      </c>
      <c r="CS80" s="755">
        <f t="shared" si="33"/>
        <v>14.580399086376048</v>
      </c>
      <c r="CT80" s="755">
        <f t="shared" si="146"/>
        <v>5.2505024662650479</v>
      </c>
      <c r="CU80" s="755">
        <f t="shared" si="147"/>
        <v>3.8114405479621092</v>
      </c>
      <c r="CX80" s="755"/>
      <c r="CY80" s="755"/>
      <c r="CZ80" s="755"/>
      <c r="DA80" s="755"/>
      <c r="DB80" s="755"/>
      <c r="DC80" s="755"/>
      <c r="DD80" s="755" t="b">
        <f t="shared" si="96"/>
        <v>0</v>
      </c>
      <c r="DE80" s="755">
        <f t="shared" si="36"/>
        <v>16.061183225745754</v>
      </c>
      <c r="DF80" s="755">
        <v>59</v>
      </c>
      <c r="DG80" s="755">
        <f t="shared" si="97"/>
        <v>20.5</v>
      </c>
      <c r="DH80" s="673">
        <f t="shared" si="37"/>
        <v>4.4388167742542466</v>
      </c>
      <c r="DI80" s="673">
        <f t="shared" si="38"/>
        <v>2</v>
      </c>
      <c r="DJ80" s="766" t="b">
        <f t="shared" si="39"/>
        <v>0</v>
      </c>
      <c r="DK80" s="673"/>
      <c r="DL80" s="766">
        <f t="shared" si="40"/>
        <v>4.4388167742542466</v>
      </c>
      <c r="DM80" s="766">
        <f t="shared" si="41"/>
        <v>6.2288591937096294E-2</v>
      </c>
      <c r="DN80" s="766">
        <f t="shared" si="42"/>
        <v>4.1661071199148823E-3</v>
      </c>
      <c r="DO80" s="766">
        <f t="shared" si="43"/>
        <v>5.0419896749291677</v>
      </c>
      <c r="DP80" s="766">
        <f t="shared" si="44"/>
        <v>2.5488771074934253</v>
      </c>
      <c r="DQ80" s="766">
        <f t="shared" si="45"/>
        <v>4.0033896981367043</v>
      </c>
      <c r="DR80" s="766">
        <f t="shared" si="46"/>
        <v>7.8722229909805668</v>
      </c>
      <c r="DS80" s="766">
        <f t="shared" si="47"/>
        <v>2.3089438847754087</v>
      </c>
      <c r="DT80" s="766">
        <f t="shared" si="48"/>
        <v>3.2915383830965919</v>
      </c>
      <c r="DU80" s="766">
        <f t="shared" si="49"/>
        <v>77.860739921370367</v>
      </c>
      <c r="DV80" s="766">
        <f t="shared" si="50"/>
        <v>12.621734137340898</v>
      </c>
      <c r="DW80" s="766">
        <f t="shared" si="51"/>
        <v>18.224846070471624</v>
      </c>
      <c r="DX80" s="766">
        <f t="shared" si="52"/>
        <v>8.2840209411234653</v>
      </c>
      <c r="DY80" s="766">
        <f t="shared" si="53"/>
        <v>4.4388167742542466</v>
      </c>
      <c r="DZ80" s="766">
        <f t="shared" si="54"/>
        <v>3.4702625143341397</v>
      </c>
      <c r="EB80" s="755"/>
      <c r="EC80" s="755"/>
      <c r="ED80" s="755"/>
      <c r="EE80" s="755"/>
      <c r="EF80" s="755" t="b">
        <f t="shared" si="98"/>
        <v>0</v>
      </c>
      <c r="EG80" s="755">
        <f t="shared" si="55"/>
        <v>31.249497533734953</v>
      </c>
      <c r="EH80" s="755">
        <v>59</v>
      </c>
      <c r="EI80" s="755">
        <f t="shared" si="103"/>
        <v>36.5</v>
      </c>
      <c r="EJ80" s="673">
        <f t="shared" si="56"/>
        <v>5.2505024662650479</v>
      </c>
      <c r="EK80" s="673">
        <f t="shared" si="57"/>
        <v>2.2510196371999172</v>
      </c>
      <c r="EL80" s="755" t="b">
        <f t="shared" si="58"/>
        <v>0</v>
      </c>
      <c r="EM80" s="673"/>
      <c r="EN80" s="755">
        <f t="shared" si="59"/>
        <v>5.2505024662650479</v>
      </c>
      <c r="EO80" s="755">
        <f t="shared" si="60"/>
        <v>3.538997780123531E-2</v>
      </c>
      <c r="EP80" s="755">
        <f t="shared" si="61"/>
        <v>2.3670215348622825E-3</v>
      </c>
      <c r="EQ80" s="755">
        <f t="shared" si="62"/>
        <v>5.2666168453547542</v>
      </c>
      <c r="ER80" s="755">
        <f t="shared" si="63"/>
        <v>2.6041060485230063</v>
      </c>
      <c r="ES80" s="755">
        <f t="shared" si="64"/>
        <v>4.6111571469726895</v>
      </c>
      <c r="ET80" s="755">
        <f t="shared" si="65"/>
        <v>9.0673304485740864</v>
      </c>
      <c r="EU80" s="755">
        <f t="shared" si="66"/>
        <v>2.488852706389836</v>
      </c>
      <c r="EV80" s="755">
        <f t="shared" si="67"/>
        <v>3.5406560315541036</v>
      </c>
      <c r="EW80" s="755">
        <f t="shared" si="68"/>
        <v>44.237472251544141</v>
      </c>
      <c r="EX80" s="755">
        <f t="shared" si="69"/>
        <v>7.1711829894097185</v>
      </c>
      <c r="EY80" s="755">
        <f t="shared" si="99"/>
        <v>32.076877990027306</v>
      </c>
      <c r="EZ80" s="755">
        <f t="shared" si="70"/>
        <v>14.580399086376048</v>
      </c>
      <c r="FA80" s="755">
        <f t="shared" si="71"/>
        <v>5.2505024662650479</v>
      </c>
      <c r="FB80" s="755">
        <f t="shared" si="72"/>
        <v>3.8114405479621092</v>
      </c>
      <c r="FC80" s="755"/>
      <c r="FD80" s="755"/>
      <c r="FE80" s="755"/>
      <c r="FF80" s="755"/>
      <c r="FG80" s="755"/>
      <c r="FH80" s="755"/>
      <c r="FI80" s="755"/>
      <c r="FJ80" s="755"/>
      <c r="FK80" s="755" t="b">
        <f t="shared" si="100"/>
        <v>0</v>
      </c>
      <c r="FL80" s="755">
        <f t="shared" si="73"/>
        <v>17.029737485665862</v>
      </c>
      <c r="FM80" s="755">
        <v>59</v>
      </c>
      <c r="FN80" s="767">
        <f t="shared" si="101"/>
        <v>20.5</v>
      </c>
      <c r="FO80" s="673">
        <f t="shared" si="74"/>
        <v>3.4702625143341397</v>
      </c>
      <c r="FP80" s="673">
        <f t="shared" si="75"/>
        <v>2.2510196371999172</v>
      </c>
      <c r="FQ80" s="766" t="b">
        <f t="shared" si="76"/>
        <v>0</v>
      </c>
      <c r="FR80" s="673"/>
      <c r="FS80" s="767">
        <f t="shared" si="77"/>
        <v>3.4702625143341397</v>
      </c>
      <c r="FT80" s="766">
        <f t="shared" si="78"/>
        <v>6.2288591937096294E-2</v>
      </c>
      <c r="FU80" s="766">
        <f t="shared" si="79"/>
        <v>4.1661071199148823E-3</v>
      </c>
      <c r="FV80" s="766">
        <f t="shared" si="80"/>
        <v>5.0419896749291677</v>
      </c>
      <c r="FW80" s="766">
        <f t="shared" si="81"/>
        <v>2.5488771074934253</v>
      </c>
      <c r="FX80" s="766">
        <f t="shared" si="82"/>
        <v>4.5058544129347853</v>
      </c>
      <c r="FY80" s="766">
        <f t="shared" si="83"/>
        <v>8.8602642705569608</v>
      </c>
      <c r="FZ80" s="766">
        <f t="shared" si="84"/>
        <v>2.3089438847754087</v>
      </c>
      <c r="GA80" s="766">
        <f t="shared" si="85"/>
        <v>3.2915383830965919</v>
      </c>
      <c r="GB80" s="766">
        <f t="shared" si="86"/>
        <v>77.860739921370367</v>
      </c>
      <c r="GC80" s="766">
        <f t="shared" si="87"/>
        <v>12.621734137340898</v>
      </c>
      <c r="GD80" s="766">
        <f t="shared" si="88"/>
        <v>18.224846070471624</v>
      </c>
      <c r="GE80" s="766">
        <f t="shared" si="89"/>
        <v>8.2840209411234653</v>
      </c>
      <c r="GF80" s="766">
        <f t="shared" si="90"/>
        <v>5.1108575581006539</v>
      </c>
      <c r="GG80" s="766">
        <f t="shared" si="91"/>
        <v>3.4702625143341397</v>
      </c>
    </row>
    <row r="81" spans="1:189" s="705" customFormat="1">
      <c r="A81" s="162"/>
      <c r="B81" s="315"/>
      <c r="C81" s="864" t="s">
        <v>1676</v>
      </c>
      <c r="D81" s="842"/>
      <c r="E81" s="842"/>
      <c r="F81" s="842"/>
      <c r="G81" s="842"/>
      <c r="H81" s="843"/>
      <c r="I81" s="843"/>
      <c r="J81" s="842"/>
      <c r="K81" s="842"/>
      <c r="L81" s="842"/>
      <c r="M81" s="842"/>
      <c r="N81" s="843"/>
      <c r="O81" s="843"/>
      <c r="P81" s="842"/>
      <c r="Q81" s="842"/>
      <c r="R81" s="842"/>
      <c r="S81" s="842"/>
      <c r="T81" s="843"/>
      <c r="U81" s="843"/>
      <c r="V81" s="1069"/>
      <c r="W81" s="1069"/>
      <c r="X81" s="1069"/>
      <c r="Y81" s="1069"/>
      <c r="Z81" s="1069"/>
      <c r="AA81" s="1069"/>
      <c r="AB81" s="1069"/>
      <c r="AC81" s="765"/>
      <c r="AD81" s="842"/>
      <c r="AE81" s="842"/>
      <c r="AF81" s="842"/>
      <c r="AG81" s="842"/>
      <c r="AH81" s="842"/>
      <c r="AI81" s="842"/>
      <c r="AJ81" s="842"/>
      <c r="AK81" s="168"/>
      <c r="AO81" s="706"/>
      <c r="AP81" s="707"/>
      <c r="AQ81" s="709"/>
      <c r="AR81" s="709"/>
      <c r="AS81" s="710"/>
      <c r="AU81" s="706"/>
      <c r="AV81" s="707"/>
      <c r="AW81" s="711"/>
      <c r="AX81" s="711"/>
      <c r="AY81" s="711"/>
      <c r="BA81" s="712"/>
      <c r="BB81" s="713"/>
      <c r="BC81" s="711"/>
      <c r="BD81" s="711"/>
      <c r="BE81" s="711"/>
      <c r="BY81" s="753" t="b">
        <f t="shared" si="94"/>
        <v>0</v>
      </c>
      <c r="BZ81" s="753">
        <f t="shared" si="19"/>
        <v>31.729114359489692</v>
      </c>
      <c r="CA81" s="751">
        <v>60</v>
      </c>
      <c r="CB81" s="752">
        <f t="shared" si="102"/>
        <v>37</v>
      </c>
      <c r="CC81" s="673">
        <f t="shared" si="20"/>
        <v>5.2708856405103077</v>
      </c>
      <c r="CD81" s="91">
        <f t="shared" si="9"/>
        <v>2</v>
      </c>
      <c r="CE81" s="752" t="b">
        <f t="shared" si="21"/>
        <v>0</v>
      </c>
      <c r="CF81" s="673"/>
      <c r="CG81" s="752">
        <f t="shared" si="22"/>
        <v>5.2708856405103077</v>
      </c>
      <c r="CH81" s="752">
        <f t="shared" si="23"/>
        <v>3.4921236088963997E-2</v>
      </c>
      <c r="CI81" s="752">
        <f t="shared" si="24"/>
        <v>2.3356702372303384E-3</v>
      </c>
      <c r="CJ81" s="755">
        <f t="shared" si="25"/>
        <v>5.2707642147857108</v>
      </c>
      <c r="CK81" s="755">
        <f t="shared" si="26"/>
        <v>2.6051005575823925</v>
      </c>
      <c r="CL81" s="755">
        <f t="shared" si="27"/>
        <v>4.6265535547222223</v>
      </c>
      <c r="CM81" s="755">
        <f t="shared" si="28"/>
        <v>9.0976057812804658</v>
      </c>
      <c r="CN81" s="755">
        <f t="shared" si="29"/>
        <v>2.4932438197882263</v>
      </c>
      <c r="CO81" s="755">
        <f t="shared" si="30"/>
        <v>3.5467404545019789</v>
      </c>
      <c r="CP81" s="755">
        <f t="shared" si="144"/>
        <v>43.651545111204996</v>
      </c>
      <c r="CQ81" s="755">
        <f t="shared" si="32"/>
        <v>7.0762003756215428</v>
      </c>
      <c r="CR81" s="755">
        <f t="shared" si="145"/>
        <v>32.507440375478353</v>
      </c>
      <c r="CS81" s="755">
        <f t="shared" si="33"/>
        <v>14.776109261581068</v>
      </c>
      <c r="CT81" s="755">
        <f t="shared" si="146"/>
        <v>5.2708856405103077</v>
      </c>
      <c r="CU81" s="755">
        <f t="shared" si="147"/>
        <v>3.8197432751600595</v>
      </c>
      <c r="CX81" s="755"/>
      <c r="CY81" s="755"/>
      <c r="CZ81" s="755"/>
      <c r="DA81" s="755"/>
      <c r="DB81" s="755"/>
      <c r="DC81" s="755"/>
      <c r="DD81" s="755" t="b">
        <f t="shared" si="96"/>
        <v>0</v>
      </c>
      <c r="DE81" s="755">
        <f t="shared" si="36"/>
        <v>15.593718230627037</v>
      </c>
      <c r="DF81" s="755">
        <v>60</v>
      </c>
      <c r="DG81" s="755">
        <f t="shared" si="97"/>
        <v>20</v>
      </c>
      <c r="DH81" s="673">
        <f t="shared" si="37"/>
        <v>4.4062817693729626</v>
      </c>
      <c r="DI81" s="673">
        <f t="shared" si="38"/>
        <v>2</v>
      </c>
      <c r="DJ81" s="766" t="b">
        <f t="shared" si="39"/>
        <v>0</v>
      </c>
      <c r="DK81" s="673"/>
      <c r="DL81" s="766">
        <f t="shared" si="40"/>
        <v>4.4062817693729626</v>
      </c>
      <c r="DM81" s="766">
        <f t="shared" si="41"/>
        <v>6.3814284124495788E-2</v>
      </c>
      <c r="DN81" s="766">
        <f t="shared" si="42"/>
        <v>4.2681514411469709E-3</v>
      </c>
      <c r="DO81" s="766">
        <f t="shared" si="43"/>
        <v>5.0299864377091836</v>
      </c>
      <c r="DP81" s="766">
        <f t="shared" si="44"/>
        <v>2.5458488727903852</v>
      </c>
      <c r="DQ81" s="766">
        <f t="shared" si="45"/>
        <v>3.9792435431952113</v>
      </c>
      <c r="DR81" s="766">
        <f t="shared" si="46"/>
        <v>7.8247422483082563</v>
      </c>
      <c r="DS81" s="766">
        <f t="shared" si="47"/>
        <v>2.3015100122352901</v>
      </c>
      <c r="DT81" s="766">
        <f t="shared" si="48"/>
        <v>3.2812521653955828</v>
      </c>
      <c r="DU81" s="766">
        <f t="shared" si="49"/>
        <v>79.767855155619728</v>
      </c>
      <c r="DV81" s="766">
        <f t="shared" si="50"/>
        <v>12.930889964530271</v>
      </c>
      <c r="DW81" s="766">
        <f t="shared" si="51"/>
        <v>17.789120658085412</v>
      </c>
      <c r="DX81" s="766">
        <f t="shared" si="52"/>
        <v>8.0859639354933694</v>
      </c>
      <c r="DY81" s="766">
        <f t="shared" si="53"/>
        <v>4.4062817693729626</v>
      </c>
      <c r="DZ81" s="766">
        <f t="shared" si="54"/>
        <v>3.4561230293141372</v>
      </c>
      <c r="EB81" s="755"/>
      <c r="EC81" s="755"/>
      <c r="ED81" s="755"/>
      <c r="EE81" s="755"/>
      <c r="EF81" s="755" t="b">
        <f t="shared" si="98"/>
        <v>0</v>
      </c>
      <c r="EG81" s="755">
        <f t="shared" si="55"/>
        <v>31.729114359489692</v>
      </c>
      <c r="EH81" s="755">
        <v>60</v>
      </c>
      <c r="EI81" s="755">
        <f t="shared" si="103"/>
        <v>37</v>
      </c>
      <c r="EJ81" s="673">
        <f t="shared" si="56"/>
        <v>5.2708856405103077</v>
      </c>
      <c r="EK81" s="673">
        <f t="shared" si="57"/>
        <v>2.2510196371999172</v>
      </c>
      <c r="EL81" s="755" t="b">
        <f t="shared" si="58"/>
        <v>0</v>
      </c>
      <c r="EM81" s="673"/>
      <c r="EN81" s="755">
        <f t="shared" si="59"/>
        <v>5.2708856405103077</v>
      </c>
      <c r="EO81" s="755">
        <f t="shared" si="60"/>
        <v>3.4921236088963997E-2</v>
      </c>
      <c r="EP81" s="755">
        <f t="shared" si="61"/>
        <v>2.3356702372303384E-3</v>
      </c>
      <c r="EQ81" s="755">
        <f t="shared" si="62"/>
        <v>5.2707642147857108</v>
      </c>
      <c r="ER81" s="755">
        <f t="shared" si="63"/>
        <v>2.6051005575823925</v>
      </c>
      <c r="ES81" s="755">
        <f t="shared" si="64"/>
        <v>4.6265535547222223</v>
      </c>
      <c r="ET81" s="755">
        <f t="shared" si="65"/>
        <v>9.0976057812804658</v>
      </c>
      <c r="EU81" s="755">
        <f t="shared" si="66"/>
        <v>2.4932438197882263</v>
      </c>
      <c r="EV81" s="755">
        <f t="shared" si="67"/>
        <v>3.5467404545019789</v>
      </c>
      <c r="EW81" s="755">
        <f t="shared" si="68"/>
        <v>43.651545111204996</v>
      </c>
      <c r="EX81" s="755">
        <f t="shared" si="69"/>
        <v>7.0762003756215428</v>
      </c>
      <c r="EY81" s="755">
        <f t="shared" si="99"/>
        <v>32.507440375478353</v>
      </c>
      <c r="EZ81" s="755">
        <f t="shared" si="70"/>
        <v>14.776109261581068</v>
      </c>
      <c r="FA81" s="755">
        <f t="shared" si="71"/>
        <v>5.2708856405103077</v>
      </c>
      <c r="FB81" s="755">
        <f t="shared" si="72"/>
        <v>3.8197432751600595</v>
      </c>
      <c r="FC81" s="755"/>
      <c r="FD81" s="755"/>
      <c r="FE81" s="755"/>
      <c r="FF81" s="755"/>
      <c r="FG81" s="755"/>
      <c r="FH81" s="755"/>
      <c r="FI81" s="755"/>
      <c r="FJ81" s="755"/>
      <c r="FK81" s="755" t="b">
        <f t="shared" si="100"/>
        <v>0</v>
      </c>
      <c r="FL81" s="755">
        <f t="shared" si="73"/>
        <v>16.543876970685861</v>
      </c>
      <c r="FM81" s="755">
        <v>60</v>
      </c>
      <c r="FN81" s="767">
        <f t="shared" si="101"/>
        <v>20</v>
      </c>
      <c r="FO81" s="673">
        <f t="shared" si="74"/>
        <v>3.4561230293141372</v>
      </c>
      <c r="FP81" s="673">
        <f t="shared" si="75"/>
        <v>2.2510196371999172</v>
      </c>
      <c r="FQ81" s="766" t="b">
        <f t="shared" si="76"/>
        <v>0</v>
      </c>
      <c r="FR81" s="673"/>
      <c r="FS81" s="767">
        <f t="shared" si="77"/>
        <v>3.4561230293141372</v>
      </c>
      <c r="FT81" s="766">
        <f t="shared" si="78"/>
        <v>6.3814284124495788E-2</v>
      </c>
      <c r="FU81" s="766">
        <f t="shared" si="79"/>
        <v>4.2681514411469709E-3</v>
      </c>
      <c r="FV81" s="766">
        <f t="shared" si="80"/>
        <v>5.0299864377091836</v>
      </c>
      <c r="FW81" s="766">
        <f t="shared" si="81"/>
        <v>2.5458488727903852</v>
      </c>
      <c r="FX81" s="766">
        <f t="shared" si="82"/>
        <v>4.4786776784666991</v>
      </c>
      <c r="FY81" s="766">
        <f t="shared" si="83"/>
        <v>8.8068242284848584</v>
      </c>
      <c r="FZ81" s="766">
        <f t="shared" si="84"/>
        <v>2.3015100122352901</v>
      </c>
      <c r="GA81" s="766">
        <f t="shared" si="85"/>
        <v>3.2812521653955828</v>
      </c>
      <c r="GB81" s="766">
        <f t="shared" si="86"/>
        <v>79.767855155619728</v>
      </c>
      <c r="GC81" s="766">
        <f t="shared" si="87"/>
        <v>12.930889964530271</v>
      </c>
      <c r="GD81" s="766">
        <f t="shared" si="88"/>
        <v>17.789120658085412</v>
      </c>
      <c r="GE81" s="766">
        <f t="shared" si="89"/>
        <v>8.0859639354933694</v>
      </c>
      <c r="GF81" s="766">
        <f t="shared" si="90"/>
        <v>5.074750877957551</v>
      </c>
      <c r="GG81" s="766">
        <f t="shared" si="91"/>
        <v>3.4561230293141372</v>
      </c>
    </row>
    <row r="82" spans="1:189" ht="15" thickBot="1">
      <c r="B82" s="315"/>
      <c r="C82" s="105" t="s">
        <v>1677</v>
      </c>
      <c r="D82" s="842"/>
      <c r="E82" s="842"/>
      <c r="F82" s="842"/>
      <c r="G82" s="842"/>
      <c r="H82" s="843"/>
      <c r="I82" s="843"/>
      <c r="J82" s="842"/>
      <c r="K82" s="842"/>
      <c r="L82" s="842"/>
      <c r="M82" s="842"/>
      <c r="N82" s="843"/>
      <c r="O82" s="843"/>
      <c r="P82" s="842"/>
      <c r="Q82" s="842"/>
      <c r="R82" s="842"/>
      <c r="S82" s="842"/>
      <c r="T82" s="843"/>
      <c r="U82" s="843"/>
      <c r="V82" s="1069"/>
      <c r="W82" s="1069"/>
      <c r="X82" s="1069"/>
      <c r="Y82" s="1069"/>
      <c r="Z82" s="1069"/>
      <c r="AA82" s="1069"/>
      <c r="AB82" s="1069"/>
      <c r="AC82" s="842"/>
      <c r="AD82" s="842"/>
      <c r="AE82" s="842"/>
      <c r="AF82" s="842"/>
      <c r="AG82" s="842"/>
      <c r="AH82" s="842"/>
      <c r="AI82" s="842"/>
      <c r="AJ82" s="842"/>
      <c r="AK82" s="168"/>
      <c r="AN82" t="b">
        <v>0</v>
      </c>
      <c r="AO82" s="1060" t="s">
        <v>536</v>
      </c>
      <c r="AP82" s="1061"/>
      <c r="AQ82" s="78">
        <f>((0.03/(2.2*(10^(AS10+(AT10*(LOG((0.03*(AB7+AC7))/V30))))))))</f>
        <v>1.1941342009441462E-2</v>
      </c>
      <c r="AR82" s="78">
        <f>(0.03/(2.2*(10^(AS11+(AT11*(LOG((0.03*(AB8+AC8))/V50)))))))</f>
        <v>3.961574311398932E-2</v>
      </c>
      <c r="AS82" s="79">
        <f>((0.03/(2.2*(10^(AS12+(AT12*(LOG((0.03*(AB9+AC9))/V70))))))))</f>
        <v>1.2355451153571869E-2</v>
      </c>
      <c r="AT82" t="b">
        <v>1</v>
      </c>
      <c r="AU82" s="1060" t="s">
        <v>612</v>
      </c>
      <c r="AV82" s="1061"/>
      <c r="AW82" s="86">
        <f>X7*((1/AQ82)^0.25)</f>
        <v>6.0501579302052626</v>
      </c>
      <c r="AX82" s="86">
        <f>X8*((1/AR82)^0.25)</f>
        <v>42.587941539469789</v>
      </c>
      <c r="AY82" s="86">
        <f>X9*((1/AS82)^0.25)</f>
        <v>77.984572534371623</v>
      </c>
      <c r="AZ82" t="b">
        <v>1</v>
      </c>
      <c r="BA82" s="1062" t="s">
        <v>542</v>
      </c>
      <c r="BB82" s="1063"/>
      <c r="BY82" s="753" t="b">
        <f t="shared" si="94"/>
        <v>0</v>
      </c>
      <c r="BZ82" s="753">
        <f t="shared" si="19"/>
        <v>32.20894673506281</v>
      </c>
      <c r="CA82" s="751">
        <v>61</v>
      </c>
      <c r="CB82" s="752">
        <f t="shared" si="102"/>
        <v>37.5</v>
      </c>
      <c r="CC82" s="673">
        <f t="shared" si="20"/>
        <v>5.2910532649371929</v>
      </c>
      <c r="CD82" s="91">
        <f t="shared" si="9"/>
        <v>2</v>
      </c>
      <c r="CE82" s="752" t="b">
        <f t="shared" si="21"/>
        <v>0</v>
      </c>
      <c r="CF82" s="673"/>
      <c r="CG82" s="752">
        <f t="shared" si="22"/>
        <v>5.2910532649371929</v>
      </c>
      <c r="CH82" s="752">
        <f t="shared" si="23"/>
        <v>3.4464870819165272E-2</v>
      </c>
      <c r="CI82" s="752">
        <f t="shared" si="24"/>
        <v>2.305146724968087E-3</v>
      </c>
      <c r="CJ82" s="755">
        <f t="shared" si="25"/>
        <v>5.274810247220608</v>
      </c>
      <c r="CK82" s="755">
        <f t="shared" si="26"/>
        <v>2.6060699035769241</v>
      </c>
      <c r="CL82" s="755">
        <f t="shared" si="27"/>
        <v>4.6417936696084743</v>
      </c>
      <c r="CM82" s="755">
        <f t="shared" si="28"/>
        <v>9.1275737813601427</v>
      </c>
      <c r="CN82" s="755">
        <f t="shared" si="29"/>
        <v>2.4975828447290995</v>
      </c>
      <c r="CO82" s="755">
        <f t="shared" si="30"/>
        <v>3.5527528859481001</v>
      </c>
      <c r="CP82" s="755">
        <f t="shared" si="144"/>
        <v>43.081088523956588</v>
      </c>
      <c r="CQ82" s="755">
        <f t="shared" si="32"/>
        <v>6.9837256394654847</v>
      </c>
      <c r="CR82" s="755">
        <f t="shared" si="145"/>
        <v>32.937886404864642</v>
      </c>
      <c r="CS82" s="755">
        <f t="shared" si="33"/>
        <v>14.971766547665744</v>
      </c>
      <c r="CT82" s="755">
        <f t="shared" si="146"/>
        <v>5.2910532649371929</v>
      </c>
      <c r="CU82" s="755">
        <f t="shared" si="147"/>
        <v>3.8279463557806581</v>
      </c>
      <c r="CX82" s="755"/>
      <c r="CY82" s="755"/>
      <c r="CZ82" s="755"/>
      <c r="DA82" s="755"/>
      <c r="DB82" s="755"/>
      <c r="DC82" s="755"/>
      <c r="DD82" s="755" t="b">
        <f t="shared" si="96"/>
        <v>0</v>
      </c>
      <c r="DE82" s="755">
        <f t="shared" si="36"/>
        <v>15.126896054853782</v>
      </c>
      <c r="DF82" s="755">
        <v>61</v>
      </c>
      <c r="DG82" s="755">
        <f t="shared" si="97"/>
        <v>19.5</v>
      </c>
      <c r="DH82" s="673">
        <f t="shared" si="37"/>
        <v>4.3731039451462177</v>
      </c>
      <c r="DI82" s="673">
        <f t="shared" si="38"/>
        <v>2</v>
      </c>
      <c r="DJ82" s="766" t="b">
        <f t="shared" si="39"/>
        <v>0</v>
      </c>
      <c r="DK82" s="673"/>
      <c r="DL82" s="766">
        <f t="shared" si="40"/>
        <v>4.3731039451462177</v>
      </c>
      <c r="DM82" s="766">
        <f t="shared" si="41"/>
        <v>6.5417414921183845E-2</v>
      </c>
      <c r="DN82" s="766">
        <f t="shared" si="42"/>
        <v>4.375375162514468E-3</v>
      </c>
      <c r="DO82" s="766">
        <f t="shared" si="43"/>
        <v>5.0174536911961773</v>
      </c>
      <c r="DP82" s="766">
        <f t="shared" si="44"/>
        <v>2.5426785360064468</v>
      </c>
      <c r="DQ82" s="766">
        <f t="shared" si="45"/>
        <v>3.9546372345029304</v>
      </c>
      <c r="DR82" s="766">
        <f t="shared" si="46"/>
        <v>7.7763566641867081</v>
      </c>
      <c r="DS82" s="766">
        <f t="shared" si="47"/>
        <v>2.2939100728132735</v>
      </c>
      <c r="DT82" s="766">
        <f t="shared" si="48"/>
        <v>3.2707367946725241</v>
      </c>
      <c r="DU82" s="766">
        <f t="shared" si="49"/>
        <v>81.771768651479803</v>
      </c>
      <c r="DV82" s="766">
        <f t="shared" si="50"/>
        <v>13.255737421727801</v>
      </c>
      <c r="DW82" s="766">
        <f t="shared" si="51"/>
        <v>17.353177305580029</v>
      </c>
      <c r="DX82" s="766">
        <f t="shared" si="52"/>
        <v>7.8878078661727402</v>
      </c>
      <c r="DY82" s="766">
        <f t="shared" si="53"/>
        <v>4.3731039451462177</v>
      </c>
      <c r="DZ82" s="766">
        <f t="shared" si="54"/>
        <v>3.4416642670961926</v>
      </c>
      <c r="EB82" s="755"/>
      <c r="EC82" s="755"/>
      <c r="ED82" s="755"/>
      <c r="EE82" s="755"/>
      <c r="EF82" s="755" t="b">
        <f t="shared" si="98"/>
        <v>0</v>
      </c>
      <c r="EG82" s="755">
        <f t="shared" si="55"/>
        <v>32.20894673506281</v>
      </c>
      <c r="EH82" s="755">
        <v>61</v>
      </c>
      <c r="EI82" s="755">
        <f t="shared" si="103"/>
        <v>37.5</v>
      </c>
      <c r="EJ82" s="673">
        <f t="shared" si="56"/>
        <v>5.2910532649371929</v>
      </c>
      <c r="EK82" s="673">
        <f t="shared" si="57"/>
        <v>2.2510196371999172</v>
      </c>
      <c r="EL82" s="755" t="b">
        <f t="shared" si="58"/>
        <v>0</v>
      </c>
      <c r="EM82" s="673"/>
      <c r="EN82" s="755">
        <f t="shared" si="59"/>
        <v>5.2910532649371929</v>
      </c>
      <c r="EO82" s="755">
        <f t="shared" si="60"/>
        <v>3.4464870819165272E-2</v>
      </c>
      <c r="EP82" s="755">
        <f t="shared" si="61"/>
        <v>2.305146724968087E-3</v>
      </c>
      <c r="EQ82" s="755">
        <f t="shared" si="62"/>
        <v>5.274810247220608</v>
      </c>
      <c r="ER82" s="755">
        <f t="shared" si="63"/>
        <v>2.6060699035769241</v>
      </c>
      <c r="ES82" s="755">
        <f t="shared" si="64"/>
        <v>4.6417936696084743</v>
      </c>
      <c r="ET82" s="755">
        <f t="shared" si="65"/>
        <v>9.1275737813601427</v>
      </c>
      <c r="EU82" s="755">
        <f t="shared" si="66"/>
        <v>2.4975828447290995</v>
      </c>
      <c r="EV82" s="755">
        <f t="shared" si="67"/>
        <v>3.5527528859481001</v>
      </c>
      <c r="EW82" s="755">
        <f t="shared" si="68"/>
        <v>43.081088523956588</v>
      </c>
      <c r="EX82" s="755">
        <f t="shared" si="69"/>
        <v>6.9837256394654847</v>
      </c>
      <c r="EY82" s="755">
        <f t="shared" si="99"/>
        <v>32.937886404864642</v>
      </c>
      <c r="EZ82" s="755">
        <f t="shared" si="70"/>
        <v>14.971766547665744</v>
      </c>
      <c r="FA82" s="755">
        <f t="shared" si="71"/>
        <v>5.2910532649371929</v>
      </c>
      <c r="FB82" s="755">
        <f t="shared" si="72"/>
        <v>3.8279463557806581</v>
      </c>
      <c r="FC82" s="755"/>
      <c r="FD82" s="755"/>
      <c r="FE82" s="755"/>
      <c r="FF82" s="755"/>
      <c r="FG82" s="755"/>
      <c r="FH82" s="755"/>
      <c r="FI82" s="755"/>
      <c r="FJ82" s="755"/>
      <c r="FK82" s="755" t="b">
        <f t="shared" si="100"/>
        <v>0</v>
      </c>
      <c r="FL82" s="755">
        <f t="shared" si="73"/>
        <v>16.058335732903807</v>
      </c>
      <c r="FM82" s="755">
        <v>61</v>
      </c>
      <c r="FN82" s="767">
        <f t="shared" si="101"/>
        <v>19.5</v>
      </c>
      <c r="FO82" s="673">
        <f t="shared" si="74"/>
        <v>3.4416642670961926</v>
      </c>
      <c r="FP82" s="673">
        <f t="shared" si="75"/>
        <v>2.2510196371999172</v>
      </c>
      <c r="FQ82" s="766" t="b">
        <f t="shared" si="76"/>
        <v>0</v>
      </c>
      <c r="FR82" s="673"/>
      <c r="FS82" s="767">
        <f t="shared" si="77"/>
        <v>3.4416642670961926</v>
      </c>
      <c r="FT82" s="766">
        <f t="shared" si="78"/>
        <v>6.5417414921183845E-2</v>
      </c>
      <c r="FU82" s="766">
        <f t="shared" si="79"/>
        <v>4.375375162514468E-3</v>
      </c>
      <c r="FV82" s="766">
        <f t="shared" si="80"/>
        <v>5.0174536911961773</v>
      </c>
      <c r="FW82" s="766">
        <f t="shared" si="81"/>
        <v>2.5426785360064468</v>
      </c>
      <c r="FX82" s="766">
        <f t="shared" si="82"/>
        <v>4.4509830364340353</v>
      </c>
      <c r="FY82" s="766">
        <f t="shared" si="83"/>
        <v>8.7523657784773601</v>
      </c>
      <c r="FZ82" s="766">
        <f t="shared" si="84"/>
        <v>2.2939100728132735</v>
      </c>
      <c r="GA82" s="766">
        <f t="shared" si="85"/>
        <v>3.2707367946725241</v>
      </c>
      <c r="GB82" s="766">
        <f t="shared" si="86"/>
        <v>81.771768651479803</v>
      </c>
      <c r="GC82" s="766">
        <f t="shared" si="87"/>
        <v>13.255737421727801</v>
      </c>
      <c r="GD82" s="766">
        <f t="shared" si="88"/>
        <v>17.353177305580029</v>
      </c>
      <c r="GE82" s="766">
        <f t="shared" si="89"/>
        <v>7.8878078661727402</v>
      </c>
      <c r="GF82" s="766">
        <f t="shared" si="90"/>
        <v>5.0379278324444146</v>
      </c>
      <c r="GG82" s="766">
        <f t="shared" si="91"/>
        <v>3.4416642670961926</v>
      </c>
    </row>
    <row r="83" spans="1:189" ht="25.75" customHeight="1">
      <c r="B83" s="315"/>
      <c r="C83" s="864" t="s">
        <v>1723</v>
      </c>
      <c r="D83" s="842"/>
      <c r="E83" s="842"/>
      <c r="F83" s="842"/>
      <c r="G83" s="842"/>
      <c r="H83" s="843"/>
      <c r="I83" s="843"/>
      <c r="J83" s="842"/>
      <c r="K83" s="842"/>
      <c r="L83" s="842"/>
      <c r="M83" s="842"/>
      <c r="N83" s="843"/>
      <c r="O83" s="843"/>
      <c r="P83" s="842"/>
      <c r="Q83" s="842"/>
      <c r="R83" s="842"/>
      <c r="S83" s="842"/>
      <c r="T83" s="843"/>
      <c r="U83" s="843"/>
      <c r="V83" s="842"/>
      <c r="W83" s="842"/>
      <c r="X83" s="842"/>
      <c r="Y83" s="842"/>
      <c r="Z83" s="842"/>
      <c r="AA83" s="842"/>
      <c r="AB83" s="842"/>
      <c r="AC83" s="842"/>
      <c r="AD83" s="842"/>
      <c r="AE83" s="842"/>
      <c r="AF83" s="842"/>
      <c r="AG83" s="842"/>
      <c r="AH83" s="842"/>
      <c r="AI83" s="842"/>
      <c r="AJ83" s="842"/>
      <c r="AK83" s="168"/>
      <c r="AN83" t="b">
        <v>0</v>
      </c>
      <c r="AO83" s="1060" t="s">
        <v>537</v>
      </c>
      <c r="AP83" s="1061"/>
      <c r="AQ83" s="74">
        <f>AQ82*(AB7+AC7)</f>
        <v>14.926677511801827</v>
      </c>
      <c r="AR83" s="74">
        <f>AR82*(AB8+AC8)</f>
        <v>55.620503332041004</v>
      </c>
      <c r="AS83" s="75">
        <f>AS82*(AB9+AC9)</f>
        <v>17.347053419614905</v>
      </c>
      <c r="AU83" s="1060" t="s">
        <v>613</v>
      </c>
      <c r="AV83" s="1061"/>
      <c r="AW83" s="86">
        <f>BA53</f>
        <v>2.8706470309646828</v>
      </c>
      <c r="AX83" s="86">
        <f>BB53</f>
        <v>32.920901475361603</v>
      </c>
      <c r="AY83" s="86">
        <f>BC53</f>
        <v>40.277361436716681</v>
      </c>
      <c r="BY83" s="753" t="b">
        <f t="shared" si="94"/>
        <v>0</v>
      </c>
      <c r="BZ83" s="753">
        <f t="shared" si="19"/>
        <v>32.688989578054858</v>
      </c>
      <c r="CA83" s="751">
        <v>62</v>
      </c>
      <c r="CB83" s="752">
        <f t="shared" si="102"/>
        <v>38</v>
      </c>
      <c r="CC83" s="673">
        <f t="shared" si="20"/>
        <v>5.3110104219451442</v>
      </c>
      <c r="CD83" s="91">
        <f t="shared" si="9"/>
        <v>2</v>
      </c>
      <c r="CE83" s="752" t="b">
        <f t="shared" si="21"/>
        <v>0</v>
      </c>
      <c r="CF83" s="673"/>
      <c r="CG83" s="752">
        <f t="shared" si="22"/>
        <v>5.3110104219451442</v>
      </c>
      <c r="CH83" s="752">
        <f t="shared" si="23"/>
        <v>3.4020396640585163E-2</v>
      </c>
      <c r="CI83" s="752">
        <f t="shared" si="24"/>
        <v>2.2754185358661253E-3</v>
      </c>
      <c r="CJ83" s="755">
        <f t="shared" si="25"/>
        <v>5.278758627649716</v>
      </c>
      <c r="CK83" s="755">
        <f t="shared" si="26"/>
        <v>2.6070150331131514</v>
      </c>
      <c r="CL83" s="755">
        <f t="shared" si="27"/>
        <v>4.6568811307537139</v>
      </c>
      <c r="CM83" s="755">
        <f t="shared" si="28"/>
        <v>9.1572416047445024</v>
      </c>
      <c r="CN83" s="755">
        <f t="shared" si="29"/>
        <v>2.5018710821191719</v>
      </c>
      <c r="CO83" s="755">
        <f t="shared" si="30"/>
        <v>3.5586951214712208</v>
      </c>
      <c r="CP83" s="755">
        <f t="shared" si="144"/>
        <v>42.525495800731456</v>
      </c>
      <c r="CQ83" s="755">
        <f t="shared" si="32"/>
        <v>6.8936604326838555</v>
      </c>
      <c r="CR83" s="755">
        <f t="shared" si="145"/>
        <v>33.368217660512087</v>
      </c>
      <c r="CS83" s="755">
        <f t="shared" si="33"/>
        <v>15.16737166386913</v>
      </c>
      <c r="CT83" s="755">
        <f t="shared" si="146"/>
        <v>5.3110104219451442</v>
      </c>
      <c r="CU83" s="755">
        <f t="shared" si="147"/>
        <v>3.8360522896293947</v>
      </c>
      <c r="CX83" s="755"/>
      <c r="CY83" s="755"/>
      <c r="CZ83" s="755"/>
      <c r="DA83" s="755"/>
      <c r="DB83" s="755"/>
      <c r="DC83" s="755"/>
      <c r="DD83" s="755" t="b">
        <f t="shared" si="96"/>
        <v>0</v>
      </c>
      <c r="DE83" s="755">
        <f t="shared" si="36"/>
        <v>14.660746242248557</v>
      </c>
      <c r="DF83" s="755">
        <v>62</v>
      </c>
      <c r="DG83" s="755">
        <f t="shared" si="97"/>
        <v>19</v>
      </c>
      <c r="DH83" s="673">
        <f t="shared" si="37"/>
        <v>4.3392537577514441</v>
      </c>
      <c r="DI83" s="673">
        <f t="shared" si="38"/>
        <v>2</v>
      </c>
      <c r="DJ83" s="766" t="b">
        <f t="shared" si="39"/>
        <v>0</v>
      </c>
      <c r="DK83" s="673"/>
      <c r="DL83" s="766">
        <f t="shared" si="40"/>
        <v>4.3392537577514441</v>
      </c>
      <c r="DM83" s="766">
        <f t="shared" si="41"/>
        <v>6.7104055573562166E-2</v>
      </c>
      <c r="DN83" s="766">
        <f t="shared" si="42"/>
        <v>4.4881843529631354E-3</v>
      </c>
      <c r="DO83" s="766">
        <f t="shared" si="43"/>
        <v>5.0043553719282103</v>
      </c>
      <c r="DP83" s="766">
        <f t="shared" si="44"/>
        <v>2.5393558033222523</v>
      </c>
      <c r="DQ83" s="766">
        <f t="shared" si="45"/>
        <v>3.9295498588298035</v>
      </c>
      <c r="DR83" s="766">
        <f t="shared" si="46"/>
        <v>7.7270251150624052</v>
      </c>
      <c r="DS83" s="766">
        <f t="shared" si="47"/>
        <v>2.2861359477078054</v>
      </c>
      <c r="DT83" s="766">
        <f t="shared" si="48"/>
        <v>3.259981084093972</v>
      </c>
      <c r="DU83" s="766">
        <f t="shared" si="49"/>
        <v>83.880069466952705</v>
      </c>
      <c r="DV83" s="766">
        <f t="shared" si="50"/>
        <v>13.597506744769312</v>
      </c>
      <c r="DW83" s="766">
        <f t="shared" si="51"/>
        <v>16.917010310286656</v>
      </c>
      <c r="DX83" s="766">
        <f t="shared" si="52"/>
        <v>7.6895501410393887</v>
      </c>
      <c r="DY83" s="766">
        <f t="shared" si="53"/>
        <v>4.3392537577514441</v>
      </c>
      <c r="DZ83" s="766">
        <f t="shared" si="54"/>
        <v>3.4268705535748354</v>
      </c>
      <c r="EB83" s="755"/>
      <c r="EC83" s="755"/>
      <c r="ED83" s="755"/>
      <c r="EE83" s="755"/>
      <c r="EF83" s="755" t="b">
        <f t="shared" si="98"/>
        <v>0</v>
      </c>
      <c r="EG83" s="755">
        <f t="shared" si="55"/>
        <v>32.688989578054858</v>
      </c>
      <c r="EH83" s="755">
        <v>62</v>
      </c>
      <c r="EI83" s="755">
        <f t="shared" si="103"/>
        <v>38</v>
      </c>
      <c r="EJ83" s="673">
        <f t="shared" si="56"/>
        <v>5.3110104219451442</v>
      </c>
      <c r="EK83" s="673">
        <f t="shared" si="57"/>
        <v>2.2510196371999172</v>
      </c>
      <c r="EL83" s="755" t="b">
        <f t="shared" si="58"/>
        <v>0</v>
      </c>
      <c r="EM83" s="673"/>
      <c r="EN83" s="755">
        <f t="shared" si="59"/>
        <v>5.3110104219451442</v>
      </c>
      <c r="EO83" s="755">
        <f t="shared" si="60"/>
        <v>3.4020396640585163E-2</v>
      </c>
      <c r="EP83" s="755">
        <f t="shared" si="61"/>
        <v>2.2754185358661253E-3</v>
      </c>
      <c r="EQ83" s="755">
        <f t="shared" si="62"/>
        <v>5.278758627649716</v>
      </c>
      <c r="ER83" s="755">
        <f t="shared" si="63"/>
        <v>2.6070150331131514</v>
      </c>
      <c r="ES83" s="755">
        <f t="shared" si="64"/>
        <v>4.6568811307537139</v>
      </c>
      <c r="ET83" s="755">
        <f t="shared" si="65"/>
        <v>9.1572416047445024</v>
      </c>
      <c r="EU83" s="755">
        <f t="shared" si="66"/>
        <v>2.5018710821191719</v>
      </c>
      <c r="EV83" s="755">
        <f t="shared" si="67"/>
        <v>3.5586951214712208</v>
      </c>
      <c r="EW83" s="755">
        <f t="shared" si="68"/>
        <v>42.525495800731456</v>
      </c>
      <c r="EX83" s="755">
        <f t="shared" si="69"/>
        <v>6.8936604326838555</v>
      </c>
      <c r="EY83" s="755">
        <f t="shared" si="99"/>
        <v>33.368217660512087</v>
      </c>
      <c r="EZ83" s="755">
        <f t="shared" si="70"/>
        <v>15.16737166386913</v>
      </c>
      <c r="FA83" s="755">
        <f t="shared" si="71"/>
        <v>5.3110104219451442</v>
      </c>
      <c r="FB83" s="755">
        <f t="shared" si="72"/>
        <v>3.8360522896293947</v>
      </c>
      <c r="FC83" s="755"/>
      <c r="FD83" s="755"/>
      <c r="FE83" s="755"/>
      <c r="FF83" s="755"/>
      <c r="FG83" s="755"/>
      <c r="FH83" s="755"/>
      <c r="FI83" s="755"/>
      <c r="FJ83" s="755"/>
      <c r="FK83" s="755" t="b">
        <f t="shared" si="100"/>
        <v>0</v>
      </c>
      <c r="FL83" s="755">
        <f t="shared" si="73"/>
        <v>15.573129446425165</v>
      </c>
      <c r="FM83" s="755">
        <v>62</v>
      </c>
      <c r="FN83" s="767">
        <f t="shared" si="101"/>
        <v>19</v>
      </c>
      <c r="FO83" s="673">
        <f t="shared" si="74"/>
        <v>3.4268705535748354</v>
      </c>
      <c r="FP83" s="673">
        <f t="shared" si="75"/>
        <v>2.2510196371999172</v>
      </c>
      <c r="FQ83" s="766" t="b">
        <f t="shared" si="76"/>
        <v>0</v>
      </c>
      <c r="FR83" s="673"/>
      <c r="FS83" s="767">
        <f t="shared" si="77"/>
        <v>3.4268705535748354</v>
      </c>
      <c r="FT83" s="766">
        <f t="shared" si="78"/>
        <v>6.7104055573562166E-2</v>
      </c>
      <c r="FU83" s="766">
        <f t="shared" si="79"/>
        <v>4.4881843529631354E-3</v>
      </c>
      <c r="FV83" s="766">
        <f t="shared" si="80"/>
        <v>5.0043553719282103</v>
      </c>
      <c r="FW83" s="766">
        <f t="shared" si="81"/>
        <v>2.5393558033222523</v>
      </c>
      <c r="FX83" s="766">
        <f t="shared" si="82"/>
        <v>4.4227469487910254</v>
      </c>
      <c r="FY83" s="766">
        <f t="shared" si="83"/>
        <v>8.6968426355712118</v>
      </c>
      <c r="FZ83" s="766">
        <f t="shared" si="84"/>
        <v>2.2861359477078054</v>
      </c>
      <c r="GA83" s="766">
        <f t="shared" si="85"/>
        <v>3.259981084093972</v>
      </c>
      <c r="GB83" s="766">
        <f t="shared" si="86"/>
        <v>83.880069466952705</v>
      </c>
      <c r="GC83" s="766">
        <f t="shared" si="87"/>
        <v>13.597506744769312</v>
      </c>
      <c r="GD83" s="766">
        <f t="shared" si="88"/>
        <v>16.917010310286656</v>
      </c>
      <c r="GE83" s="766">
        <f t="shared" si="89"/>
        <v>7.6895501410393887</v>
      </c>
      <c r="GF83" s="766">
        <f t="shared" si="90"/>
        <v>5.0003554525637846</v>
      </c>
      <c r="GG83" s="766">
        <f t="shared" si="91"/>
        <v>3.4268705535748354</v>
      </c>
    </row>
    <row r="84" spans="1:189" ht="26.5" thickBot="1">
      <c r="B84" s="315"/>
      <c r="C84" s="851" t="s">
        <v>1678</v>
      </c>
      <c r="D84" s="161"/>
      <c r="E84" s="161"/>
      <c r="F84" s="161"/>
      <c r="G84" s="161"/>
      <c r="H84" s="161"/>
      <c r="I84" s="161"/>
      <c r="J84" s="161"/>
      <c r="K84" s="161"/>
      <c r="L84" s="161"/>
      <c r="M84" s="307"/>
      <c r="N84" s="307"/>
      <c r="O84" s="307"/>
      <c r="P84" s="161"/>
      <c r="Q84" s="161"/>
      <c r="R84" s="161"/>
      <c r="S84" s="161"/>
      <c r="T84" s="177"/>
      <c r="U84" s="177"/>
      <c r="V84" s="161"/>
      <c r="W84" s="161"/>
      <c r="X84" s="161"/>
      <c r="Y84" s="161"/>
      <c r="Z84" s="161"/>
      <c r="AA84" s="161"/>
      <c r="AB84" s="161"/>
      <c r="AC84" s="161"/>
      <c r="AD84" s="161"/>
      <c r="AE84" s="161"/>
      <c r="AF84" s="161"/>
      <c r="AG84" s="161"/>
      <c r="AH84" s="161"/>
      <c r="AI84" s="161"/>
      <c r="AJ84" s="161"/>
      <c r="AK84" s="168"/>
      <c r="AL84" s="161"/>
      <c r="AM84" s="161"/>
      <c r="AN84" t="b">
        <v>0</v>
      </c>
      <c r="AO84" s="1062" t="s">
        <v>618</v>
      </c>
      <c r="AP84" s="1063"/>
      <c r="AQ84" s="76">
        <f>AQ83/AQ79</f>
        <v>2.4197118509026354</v>
      </c>
      <c r="AR84" s="76">
        <f>AR83/AR79</f>
        <v>2.2649360472518456</v>
      </c>
      <c r="AS84" s="77">
        <f>AS83/AS79</f>
        <v>2.506291836727454</v>
      </c>
      <c r="AU84" s="1062"/>
      <c r="AV84" s="1063"/>
      <c r="BY84" s="753" t="b">
        <f t="shared" si="94"/>
        <v>0</v>
      </c>
      <c r="BZ84" s="753">
        <f t="shared" si="19"/>
        <v>33.169237990678326</v>
      </c>
      <c r="CA84" s="751">
        <v>63</v>
      </c>
      <c r="CB84" s="752">
        <f t="shared" si="102"/>
        <v>38.5</v>
      </c>
      <c r="CC84" s="673">
        <f t="shared" si="20"/>
        <v>5.3307620093216714</v>
      </c>
      <c r="CD84" s="91">
        <f t="shared" si="9"/>
        <v>2</v>
      </c>
      <c r="CE84" s="752" t="b">
        <f t="shared" si="21"/>
        <v>0</v>
      </c>
      <c r="CF84" s="673"/>
      <c r="CG84" s="752">
        <f t="shared" si="22"/>
        <v>5.3307620093216714</v>
      </c>
      <c r="CH84" s="752">
        <f t="shared" si="23"/>
        <v>3.3587353292251126E-2</v>
      </c>
      <c r="CI84" s="752">
        <f t="shared" si="24"/>
        <v>2.2464548858522012E-3</v>
      </c>
      <c r="CJ84" s="755">
        <f t="shared" si="25"/>
        <v>5.2826128640962224</v>
      </c>
      <c r="CK84" s="755">
        <f t="shared" si="26"/>
        <v>2.607936845810984</v>
      </c>
      <c r="CL84" s="755">
        <f t="shared" si="27"/>
        <v>4.6718194460051112</v>
      </c>
      <c r="CM84" s="755">
        <f t="shared" si="28"/>
        <v>9.1866161492269693</v>
      </c>
      <c r="CN84" s="755">
        <f t="shared" si="29"/>
        <v>2.5061097837715636</v>
      </c>
      <c r="CO84" s="755">
        <f t="shared" si="30"/>
        <v>3.5645688889498688</v>
      </c>
      <c r="CP84" s="755">
        <f t="shared" si="144"/>
        <v>41.984191615313911</v>
      </c>
      <c r="CQ84" s="755">
        <f t="shared" si="32"/>
        <v>6.8059114911419467</v>
      </c>
      <c r="CR84" s="755">
        <f t="shared" si="145"/>
        <v>33.79843568269191</v>
      </c>
      <c r="CS84" s="755">
        <f t="shared" si="33"/>
        <v>15.362925310314504</v>
      </c>
      <c r="CT84" s="755">
        <f t="shared" si="146"/>
        <v>5.3307620093216714</v>
      </c>
      <c r="CU84" s="755">
        <f t="shared" si="147"/>
        <v>3.8440634819247532</v>
      </c>
      <c r="CX84" s="755"/>
      <c r="CY84" s="755"/>
      <c r="CZ84" s="755"/>
      <c r="DA84" s="755"/>
      <c r="DB84" s="755"/>
      <c r="DC84" s="755"/>
      <c r="DD84" s="755" t="b">
        <f t="shared" si="96"/>
        <v>0</v>
      </c>
      <c r="DE84" s="755">
        <f t="shared" si="36"/>
        <v>14.195300514173214</v>
      </c>
      <c r="DF84" s="755">
        <v>63</v>
      </c>
      <c r="DG84" s="755">
        <f t="shared" si="97"/>
        <v>18.5</v>
      </c>
      <c r="DH84" s="673">
        <f t="shared" si="37"/>
        <v>4.3046994858267862</v>
      </c>
      <c r="DI84" s="673">
        <f t="shared" si="38"/>
        <v>2</v>
      </c>
      <c r="DJ84" s="766" t="b">
        <f t="shared" si="39"/>
        <v>0</v>
      </c>
      <c r="DK84" s="673"/>
      <c r="DL84" s="766">
        <f t="shared" si="40"/>
        <v>4.3046994858267862</v>
      </c>
      <c r="DM84" s="766">
        <f t="shared" si="41"/>
        <v>6.8880930224540143E-2</v>
      </c>
      <c r="DN84" s="766">
        <f t="shared" si="42"/>
        <v>4.6070287497366469E-3</v>
      </c>
      <c r="DO84" s="766">
        <f t="shared" si="43"/>
        <v>4.9906520495391034</v>
      </c>
      <c r="DP84" s="766">
        <f t="shared" si="44"/>
        <v>2.5358693588676027</v>
      </c>
      <c r="DQ84" s="766">
        <f t="shared" si="45"/>
        <v>3.9039589711160958</v>
      </c>
      <c r="DR84" s="766">
        <f t="shared" si="46"/>
        <v>7.6767034652082282</v>
      </c>
      <c r="DS84" s="766">
        <f t="shared" si="47"/>
        <v>2.2781788942602565</v>
      </c>
      <c r="DT84" s="766">
        <f t="shared" si="48"/>
        <v>3.248972988058771</v>
      </c>
      <c r="DU84" s="766">
        <f t="shared" si="49"/>
        <v>86.101162780675182</v>
      </c>
      <c r="DV84" s="766">
        <f t="shared" si="50"/>
        <v>13.957560467972321</v>
      </c>
      <c r="DW84" s="766">
        <f t="shared" si="51"/>
        <v>16.480613666212705</v>
      </c>
      <c r="DX84" s="766">
        <f t="shared" si="52"/>
        <v>7.4911880300966835</v>
      </c>
      <c r="DY84" s="766">
        <f t="shared" si="53"/>
        <v>4.3046994858267862</v>
      </c>
      <c r="DZ84" s="766">
        <f t="shared" si="54"/>
        <v>3.411725007208708</v>
      </c>
      <c r="EB84" s="755"/>
      <c r="EC84" s="755"/>
      <c r="ED84" s="755"/>
      <c r="EE84" s="755"/>
      <c r="EF84" s="755" t="b">
        <f t="shared" si="98"/>
        <v>0</v>
      </c>
      <c r="EG84" s="755">
        <f t="shared" si="55"/>
        <v>33.169237990678326</v>
      </c>
      <c r="EH84" s="755">
        <v>63</v>
      </c>
      <c r="EI84" s="755">
        <f t="shared" si="103"/>
        <v>38.5</v>
      </c>
      <c r="EJ84" s="673">
        <f t="shared" si="56"/>
        <v>5.3307620093216714</v>
      </c>
      <c r="EK84" s="673">
        <f t="shared" si="57"/>
        <v>2.2510196371999172</v>
      </c>
      <c r="EL84" s="755" t="b">
        <f t="shared" si="58"/>
        <v>0</v>
      </c>
      <c r="EM84" s="673"/>
      <c r="EN84" s="755">
        <f t="shared" si="59"/>
        <v>5.3307620093216714</v>
      </c>
      <c r="EO84" s="755">
        <f t="shared" si="60"/>
        <v>3.3587353292251126E-2</v>
      </c>
      <c r="EP84" s="755">
        <f t="shared" si="61"/>
        <v>2.2464548858522012E-3</v>
      </c>
      <c r="EQ84" s="755">
        <f t="shared" si="62"/>
        <v>5.2826128640962224</v>
      </c>
      <c r="ER84" s="755">
        <f t="shared" si="63"/>
        <v>2.607936845810984</v>
      </c>
      <c r="ES84" s="755">
        <f t="shared" si="64"/>
        <v>4.6718194460051112</v>
      </c>
      <c r="ET84" s="755">
        <f t="shared" si="65"/>
        <v>9.1866161492269693</v>
      </c>
      <c r="EU84" s="755">
        <f t="shared" si="66"/>
        <v>2.5061097837715636</v>
      </c>
      <c r="EV84" s="755">
        <f t="shared" si="67"/>
        <v>3.5645688889498688</v>
      </c>
      <c r="EW84" s="755">
        <f t="shared" si="68"/>
        <v>41.984191615313911</v>
      </c>
      <c r="EX84" s="755">
        <f t="shared" si="69"/>
        <v>6.8059114911419467</v>
      </c>
      <c r="EY84" s="755">
        <f t="shared" si="99"/>
        <v>33.79843568269191</v>
      </c>
      <c r="EZ84" s="755">
        <f t="shared" si="70"/>
        <v>15.362925310314504</v>
      </c>
      <c r="FA84" s="755">
        <f t="shared" si="71"/>
        <v>5.3307620093216714</v>
      </c>
      <c r="FB84" s="755">
        <f t="shared" si="72"/>
        <v>3.8440634819247532</v>
      </c>
      <c r="FC84" s="755"/>
      <c r="FD84" s="755"/>
      <c r="FE84" s="755"/>
      <c r="FF84" s="755"/>
      <c r="FG84" s="755"/>
      <c r="FH84" s="755"/>
      <c r="FI84" s="755"/>
      <c r="FJ84" s="755"/>
      <c r="FK84" s="755" t="b">
        <f t="shared" si="100"/>
        <v>0</v>
      </c>
      <c r="FL84" s="755">
        <f t="shared" si="73"/>
        <v>15.088274992791291</v>
      </c>
      <c r="FM84" s="755">
        <v>63</v>
      </c>
      <c r="FN84" s="767">
        <f t="shared" si="101"/>
        <v>18.5</v>
      </c>
      <c r="FO84" s="673">
        <f t="shared" si="74"/>
        <v>3.411725007208708</v>
      </c>
      <c r="FP84" s="673">
        <f t="shared" si="75"/>
        <v>2.2510196371999172</v>
      </c>
      <c r="FQ84" s="766" t="b">
        <f t="shared" si="76"/>
        <v>0</v>
      </c>
      <c r="FR84" s="673"/>
      <c r="FS84" s="767">
        <f t="shared" si="77"/>
        <v>3.411725007208708</v>
      </c>
      <c r="FT84" s="766">
        <f t="shared" si="78"/>
        <v>6.8880930224540143E-2</v>
      </c>
      <c r="FU84" s="766">
        <f t="shared" si="79"/>
        <v>4.6070287497366469E-3</v>
      </c>
      <c r="FV84" s="766">
        <f t="shared" si="80"/>
        <v>4.9906520495391034</v>
      </c>
      <c r="FW84" s="766">
        <f t="shared" si="81"/>
        <v>2.5358693588676027</v>
      </c>
      <c r="FX84" s="766">
        <f t="shared" si="82"/>
        <v>4.3939441534025576</v>
      </c>
      <c r="FY84" s="766">
        <f t="shared" si="83"/>
        <v>8.6402051245721871</v>
      </c>
      <c r="FZ84" s="766">
        <f t="shared" si="84"/>
        <v>2.2781788942602565</v>
      </c>
      <c r="GA84" s="766">
        <f t="shared" si="85"/>
        <v>3.248972988058771</v>
      </c>
      <c r="GB84" s="766">
        <f t="shared" si="86"/>
        <v>86.101162780675182</v>
      </c>
      <c r="GC84" s="766">
        <f t="shared" si="87"/>
        <v>13.957560467972321</v>
      </c>
      <c r="GD84" s="766">
        <f t="shared" si="88"/>
        <v>16.480613666212705</v>
      </c>
      <c r="GE84" s="766">
        <f t="shared" si="89"/>
        <v>7.4911880300966835</v>
      </c>
      <c r="GF84" s="766">
        <f t="shared" si="90"/>
        <v>4.9619983374558689</v>
      </c>
      <c r="GG84" s="766">
        <f t="shared" si="91"/>
        <v>3.411725007208708</v>
      </c>
    </row>
    <row r="85" spans="1:189" ht="18.5">
      <c r="B85" s="315"/>
      <c r="C85" s="851" t="s">
        <v>1679</v>
      </c>
      <c r="D85" s="161"/>
      <c r="E85" s="161"/>
      <c r="F85" s="161"/>
      <c r="G85" s="209"/>
      <c r="H85" s="209"/>
      <c r="I85" s="209"/>
      <c r="J85" s="161"/>
      <c r="K85" s="161"/>
      <c r="L85" s="161"/>
      <c r="M85" s="308"/>
      <c r="N85" s="308"/>
      <c r="O85" s="163"/>
      <c r="P85" s="163"/>
      <c r="Q85" s="163"/>
      <c r="R85" s="177"/>
      <c r="S85" s="161"/>
      <c r="T85" s="177"/>
      <c r="U85" s="177"/>
      <c r="V85" s="689"/>
      <c r="W85" s="689"/>
      <c r="X85" s="689"/>
      <c r="Y85" s="161"/>
      <c r="Z85" s="163"/>
      <c r="AA85" s="163"/>
      <c r="AB85" s="163"/>
      <c r="AC85" s="163"/>
      <c r="AD85" s="163"/>
      <c r="AE85" s="163"/>
      <c r="AF85" s="163"/>
      <c r="AG85" s="161"/>
      <c r="AH85" s="161"/>
      <c r="AI85" s="161"/>
      <c r="AJ85" s="161"/>
      <c r="AK85" s="168"/>
      <c r="AL85" s="161"/>
      <c r="AM85" s="161"/>
      <c r="AN85" t="b">
        <v>0</v>
      </c>
      <c r="AO85" s="1060" t="s">
        <v>538</v>
      </c>
      <c r="AP85" s="1061"/>
      <c r="AQ85" s="72">
        <f>0.03/AQ78</f>
        <v>3.8905566477032529</v>
      </c>
      <c r="AR85" s="72">
        <f>0.03/AR78</f>
        <v>1.1043601176130537</v>
      </c>
      <c r="AS85" s="73">
        <f>0.03/AS78</f>
        <v>3.9182812762420989</v>
      </c>
      <c r="AU85" s="33"/>
      <c r="AV85" s="33"/>
      <c r="AW85" s="59">
        <v>1</v>
      </c>
      <c r="AX85" s="59">
        <v>2</v>
      </c>
      <c r="AY85" s="59">
        <v>3</v>
      </c>
      <c r="BY85" s="753" t="b">
        <f t="shared" si="94"/>
        <v>0</v>
      </c>
      <c r="BZ85" s="753">
        <f t="shared" si="19"/>
        <v>33.6496872507565</v>
      </c>
      <c r="CA85" s="751">
        <v>64</v>
      </c>
      <c r="CB85" s="752">
        <f t="shared" si="102"/>
        <v>39</v>
      </c>
      <c r="CC85" s="673">
        <f t="shared" si="20"/>
        <v>5.3503127492434963</v>
      </c>
      <c r="CD85" s="91">
        <f t="shared" si="9"/>
        <v>2</v>
      </c>
      <c r="CE85" s="752" t="b">
        <f t="shared" si="21"/>
        <v>0</v>
      </c>
      <c r="CF85" s="673"/>
      <c r="CG85" s="752">
        <f t="shared" si="22"/>
        <v>5.3503127492434963</v>
      </c>
      <c r="CH85" s="752">
        <f t="shared" si="23"/>
        <v>3.3165304001346027E-2</v>
      </c>
      <c r="CI85" s="752">
        <f t="shared" si="24"/>
        <v>2.2182265618346918E-3</v>
      </c>
      <c r="CJ85" s="755">
        <f t="shared" si="25"/>
        <v>5.2863762981319198</v>
      </c>
      <c r="CK85" s="755">
        <f t="shared" si="26"/>
        <v>2.6088361971870726</v>
      </c>
      <c r="CL85" s="755">
        <f t="shared" si="27"/>
        <v>4.6866119983058327</v>
      </c>
      <c r="CM85" s="755">
        <f t="shared" si="28"/>
        <v>9.2157040669910639</v>
      </c>
      <c r="CN85" s="755">
        <f t="shared" si="29"/>
        <v>2.5103001548687911</v>
      </c>
      <c r="CO85" s="755">
        <f t="shared" si="30"/>
        <v>3.5703758519565105</v>
      </c>
      <c r="CP85" s="755">
        <f t="shared" si="144"/>
        <v>41.456630001682534</v>
      </c>
      <c r="CQ85" s="755">
        <f t="shared" si="32"/>
        <v>6.7203903101841709</v>
      </c>
      <c r="CR85" s="755">
        <f t="shared" si="145"/>
        <v>34.228541971269962</v>
      </c>
      <c r="CS85" s="755">
        <f t="shared" si="33"/>
        <v>15.558428168759072</v>
      </c>
      <c r="CT85" s="755">
        <f t="shared" si="146"/>
        <v>5.3503127492434963</v>
      </c>
      <c r="CU85" s="755">
        <f t="shared" si="147"/>
        <v>3.8519822480522983</v>
      </c>
      <c r="CX85" s="755"/>
      <c r="CY85" s="755"/>
      <c r="CZ85" s="755"/>
      <c r="DA85" s="755"/>
      <c r="DB85" s="755"/>
      <c r="DC85" s="755"/>
      <c r="DD85" s="755" t="b">
        <f t="shared" si="96"/>
        <v>0</v>
      </c>
      <c r="DE85" s="755">
        <f t="shared" si="36"/>
        <v>13.730592993821936</v>
      </c>
      <c r="DF85" s="755">
        <v>64</v>
      </c>
      <c r="DG85" s="755">
        <f t="shared" si="97"/>
        <v>18</v>
      </c>
      <c r="DH85" s="673">
        <f t="shared" si="37"/>
        <v>4.2694070061780636</v>
      </c>
      <c r="DI85" s="673">
        <f t="shared" si="38"/>
        <v>2</v>
      </c>
      <c r="DJ85" s="766" t="b">
        <f t="shared" si="39"/>
        <v>0</v>
      </c>
      <c r="DK85" s="673"/>
      <c r="DL85" s="766">
        <f t="shared" si="40"/>
        <v>4.2694070061780636</v>
      </c>
      <c r="DM85" s="766">
        <f t="shared" si="41"/>
        <v>7.0755506206453683E-2</v>
      </c>
      <c r="DN85" s="766">
        <f t="shared" si="42"/>
        <v>4.7324077975237321E-3</v>
      </c>
      <c r="DO85" s="766">
        <f t="shared" si="43"/>
        <v>4.9763005227981907</v>
      </c>
      <c r="DP85" s="766">
        <f t="shared" si="44"/>
        <v>2.5322067343312322</v>
      </c>
      <c r="DQ85" s="766">
        <f t="shared" si="45"/>
        <v>3.8778404373548834</v>
      </c>
      <c r="DR85" s="766">
        <f t="shared" si="46"/>
        <v>7.6253442577692381</v>
      </c>
      <c r="DS85" s="766">
        <f t="shared" si="47"/>
        <v>2.2700294796252916</v>
      </c>
      <c r="DT85" s="766">
        <f t="shared" si="48"/>
        <v>3.2376995109596223</v>
      </c>
      <c r="DU85" s="766">
        <f t="shared" si="49"/>
        <v>88.444382758067107</v>
      </c>
      <c r="DV85" s="766">
        <f t="shared" si="50"/>
        <v>14.337411720475373</v>
      </c>
      <c r="DW85" s="766">
        <f t="shared" si="51"/>
        <v>16.043981039265848</v>
      </c>
      <c r="DX85" s="766">
        <f t="shared" si="52"/>
        <v>7.2927186542117486</v>
      </c>
      <c r="DY85" s="766">
        <f t="shared" si="53"/>
        <v>4.2694070061780636</v>
      </c>
      <c r="DZ85" s="766">
        <f t="shared" si="54"/>
        <v>3.3962094104152118</v>
      </c>
      <c r="EB85" s="755"/>
      <c r="EC85" s="755"/>
      <c r="ED85" s="755"/>
      <c r="EE85" s="755"/>
      <c r="EF85" s="755" t="b">
        <f t="shared" si="98"/>
        <v>0</v>
      </c>
      <c r="EG85" s="755">
        <f t="shared" si="55"/>
        <v>33.6496872507565</v>
      </c>
      <c r="EH85" s="755">
        <v>64</v>
      </c>
      <c r="EI85" s="755">
        <f t="shared" si="103"/>
        <v>39</v>
      </c>
      <c r="EJ85" s="673">
        <f t="shared" si="56"/>
        <v>5.3503127492434963</v>
      </c>
      <c r="EK85" s="673">
        <f t="shared" si="57"/>
        <v>2.2510196371999172</v>
      </c>
      <c r="EL85" s="755" t="b">
        <f t="shared" si="58"/>
        <v>0</v>
      </c>
      <c r="EM85" s="673"/>
      <c r="EN85" s="755">
        <f t="shared" si="59"/>
        <v>5.3503127492434963</v>
      </c>
      <c r="EO85" s="755">
        <f t="shared" si="60"/>
        <v>3.3165304001346027E-2</v>
      </c>
      <c r="EP85" s="755">
        <f t="shared" si="61"/>
        <v>2.2182265618346918E-3</v>
      </c>
      <c r="EQ85" s="755">
        <f t="shared" si="62"/>
        <v>5.2863762981319198</v>
      </c>
      <c r="ER85" s="755">
        <f t="shared" si="63"/>
        <v>2.6088361971870726</v>
      </c>
      <c r="ES85" s="755">
        <f t="shared" si="64"/>
        <v>4.6866119983058327</v>
      </c>
      <c r="ET85" s="755">
        <f t="shared" si="65"/>
        <v>9.2157040669910639</v>
      </c>
      <c r="EU85" s="755">
        <f t="shared" si="66"/>
        <v>2.5103001548687911</v>
      </c>
      <c r="EV85" s="755">
        <f t="shared" si="67"/>
        <v>3.5703758519565105</v>
      </c>
      <c r="EW85" s="755">
        <f t="shared" si="68"/>
        <v>41.456630001682534</v>
      </c>
      <c r="EX85" s="755">
        <f t="shared" si="69"/>
        <v>6.7203903101841709</v>
      </c>
      <c r="EY85" s="755">
        <f t="shared" si="99"/>
        <v>34.228541971269962</v>
      </c>
      <c r="EZ85" s="755">
        <f t="shared" si="70"/>
        <v>15.558428168759072</v>
      </c>
      <c r="FA85" s="755">
        <f t="shared" si="71"/>
        <v>5.3503127492434963</v>
      </c>
      <c r="FB85" s="755">
        <f t="shared" si="72"/>
        <v>3.8519822480522983</v>
      </c>
      <c r="FC85" s="755"/>
      <c r="FD85" s="755"/>
      <c r="FE85" s="755"/>
      <c r="FF85" s="755"/>
      <c r="FG85" s="755"/>
      <c r="FH85" s="755"/>
      <c r="FI85" s="755"/>
      <c r="FJ85" s="755"/>
      <c r="FK85" s="755" t="b">
        <f t="shared" si="100"/>
        <v>0</v>
      </c>
      <c r="FL85" s="755">
        <f t="shared" si="73"/>
        <v>14.603790589584788</v>
      </c>
      <c r="FM85" s="755">
        <v>64</v>
      </c>
      <c r="FN85" s="767">
        <f t="shared" si="101"/>
        <v>18</v>
      </c>
      <c r="FO85" s="673">
        <f t="shared" si="74"/>
        <v>3.3962094104152118</v>
      </c>
      <c r="FP85" s="673">
        <f t="shared" si="75"/>
        <v>2.2510196371999172</v>
      </c>
      <c r="FQ85" s="766" t="b">
        <f t="shared" si="76"/>
        <v>0</v>
      </c>
      <c r="FR85" s="673"/>
      <c r="FS85" s="767">
        <f t="shared" si="77"/>
        <v>3.3962094104152118</v>
      </c>
      <c r="FT85" s="766">
        <f t="shared" si="78"/>
        <v>7.0755506206453683E-2</v>
      </c>
      <c r="FU85" s="766">
        <f t="shared" si="79"/>
        <v>4.7324077975237321E-3</v>
      </c>
      <c r="FV85" s="766">
        <f t="shared" si="80"/>
        <v>4.9763005227981907</v>
      </c>
      <c r="FW85" s="766">
        <f t="shared" si="81"/>
        <v>2.5322067343312322</v>
      </c>
      <c r="FX85" s="766">
        <f t="shared" si="82"/>
        <v>4.3645474872068792</v>
      </c>
      <c r="FY85" s="766">
        <f t="shared" si="83"/>
        <v>8.5823998323240911</v>
      </c>
      <c r="FZ85" s="766">
        <f t="shared" si="84"/>
        <v>2.2700294796252916</v>
      </c>
      <c r="GA85" s="766">
        <f t="shared" si="85"/>
        <v>3.2376995109596223</v>
      </c>
      <c r="GB85" s="766">
        <f t="shared" si="86"/>
        <v>88.444382758067107</v>
      </c>
      <c r="GC85" s="766">
        <f t="shared" si="87"/>
        <v>14.337411720475373</v>
      </c>
      <c r="GD85" s="766">
        <f t="shared" si="88"/>
        <v>16.043981039265848</v>
      </c>
      <c r="GE85" s="766">
        <f t="shared" si="89"/>
        <v>7.2927186542117486</v>
      </c>
      <c r="GF85" s="766">
        <f t="shared" si="90"/>
        <v>4.9228184037784946</v>
      </c>
      <c r="GG85" s="766">
        <f t="shared" si="91"/>
        <v>3.3962094104152118</v>
      </c>
    </row>
    <row r="86" spans="1:189" ht="19" thickBot="1">
      <c r="B86" s="315"/>
      <c r="C86" s="851" t="s">
        <v>1680</v>
      </c>
      <c r="D86" s="177"/>
      <c r="E86" s="177"/>
      <c r="F86" s="177"/>
      <c r="G86" s="237"/>
      <c r="H86" s="237"/>
      <c r="I86" s="237"/>
      <c r="J86" s="161"/>
      <c r="K86" s="161"/>
      <c r="L86" s="161"/>
      <c r="M86" s="177"/>
      <c r="N86" s="177"/>
      <c r="O86" s="161"/>
      <c r="P86" s="161"/>
      <c r="Q86" s="161"/>
      <c r="R86" s="161"/>
      <c r="S86" s="161"/>
      <c r="T86" s="690"/>
      <c r="U86" s="691"/>
      <c r="V86" s="161"/>
      <c r="W86" s="161"/>
      <c r="X86" s="161"/>
      <c r="Y86" s="161"/>
      <c r="AA86" s="161"/>
      <c r="AB86" s="104"/>
      <c r="AC86" s="104"/>
      <c r="AD86" s="104"/>
      <c r="AE86" s="104"/>
      <c r="AF86" s="161"/>
      <c r="AG86" s="161"/>
      <c r="AH86" s="161"/>
      <c r="AI86" s="280"/>
      <c r="AJ86" s="280"/>
      <c r="AK86" s="168"/>
      <c r="AL86" s="280"/>
      <c r="AM86" s="280"/>
      <c r="AN86" s="59" t="b">
        <v>0</v>
      </c>
      <c r="AO86" s="1060" t="s">
        <v>539</v>
      </c>
      <c r="AP86" s="1061"/>
      <c r="AQ86" s="74">
        <f>AQ85/2.2</f>
        <v>1.7684348398651148</v>
      </c>
      <c r="AR86" s="74">
        <f>AR85/2.2</f>
        <v>0.50198187164229713</v>
      </c>
      <c r="AS86" s="75">
        <f>AS85/2.2</f>
        <v>1.7810369437464084</v>
      </c>
      <c r="AT86" s="59" t="b">
        <v>1</v>
      </c>
      <c r="AU86" s="1064" t="s">
        <v>621</v>
      </c>
      <c r="AV86" s="1065"/>
      <c r="AW86" s="85">
        <f>IF(AX10&lt;=5,0,((AX10-5)/100)*S32*1.375*1.111*1.3)</f>
        <v>0</v>
      </c>
      <c r="AX86" s="479">
        <f>IF(AX11&lt;=5,0,((AX11-5)/100)*S52*1.375*1.111*1.3)</f>
        <v>2.5600592062083387</v>
      </c>
      <c r="AY86" s="85">
        <f>IF(AX12&lt;=5,0,((AX12-5)/100)*S72*1.375*1.111*1.3)</f>
        <v>7.4021552991055142</v>
      </c>
      <c r="AZ86" s="59" t="b">
        <v>1</v>
      </c>
      <c r="BA86" s="71" t="s">
        <v>543</v>
      </c>
      <c r="BB86" s="59"/>
      <c r="BC86" s="80">
        <f>IF(ISNUMBER(AQ95),IF(AQ95&gt;100,100,IF(AQ95&lt;0,0,IF(AND(AQ95&gt;0,AQ95&lt;100),AQ95,""))),"")</f>
        <v>100</v>
      </c>
      <c r="BD86" s="196">
        <f>IF(ISNUMBER(AV95),IF(AV95&gt;100,100,IF(AV95&lt;0,0,IF(AND(AV95&gt;0,AV95&lt;100),AV95,""))),"")</f>
        <v>100</v>
      </c>
      <c r="BE86" s="196">
        <f>IF(ISNUMBER(AW95),IF(AW95&gt;100,100,IF(AW95&lt;0,0,IF(AND(AW95&gt;0,AW95&lt;100),AW95,""))),"")</f>
        <v>98.186357012654042</v>
      </c>
      <c r="BY86" s="753" t="b">
        <f t="shared" si="94"/>
        <v>0</v>
      </c>
      <c r="BZ86" s="753">
        <f t="shared" ref="BZ86:BZ121" si="148">ABS((CC86-CB86))</f>
        <v>34.130332803270299</v>
      </c>
      <c r="CA86" s="751">
        <v>65</v>
      </c>
      <c r="CB86" s="752">
        <f t="shared" si="102"/>
        <v>39.5</v>
      </c>
      <c r="CC86" s="673">
        <f t="shared" ref="CC86:CC121" si="149">CG86</f>
        <v>5.3696671967297034</v>
      </c>
      <c r="CD86" s="91">
        <f t="shared" ref="CD86:CD121" si="150">$X$7</f>
        <v>2</v>
      </c>
      <c r="CE86" s="752" t="b">
        <f t="shared" ref="CE86:CE121" si="151">IF(CB86&lt;CD86,TRUE,FALSE)</f>
        <v>0</v>
      </c>
      <c r="CF86" s="673"/>
      <c r="CG86" s="752">
        <f t="shared" ref="CG86:CG121" si="152">((100*(-0.0126+0.01475*($X$7*((1/CH86)^0.25))))/(1+(-0.0126+0.01475*($X$7*((1/CH86)^0.25)))))</f>
        <v>5.3696671967297034</v>
      </c>
      <c r="CH86" s="752">
        <f t="shared" ref="CH86:CH121" si="153">CI86*(2.65*($W$7/0.03)^0.5-1.35)</f>
        <v>3.275383400237241E-2</v>
      </c>
      <c r="CI86" s="752">
        <f t="shared" ref="CI86:CI121" si="154">((0.03/(2.2*(10^($AS$10+($AT$10*(LOG((0.03*($AB$7+$AC$7))/CB86))))))))</f>
        <v>2.1907058226584633E-3</v>
      </c>
      <c r="CJ86" s="755">
        <f t="shared" ref="CJ86:CJ121" si="155">($W$7/(2.2*((0.976*CI86+0.022)^0.625)))</f>
        <v>5.2900521146508828</v>
      </c>
      <c r="CK86" s="755">
        <f t="shared" ref="CK86:CK121" si="156">($W$7/(2.2*((0.956*CI86+0.037)^0.5)))</f>
        <v>2.6097139013282331</v>
      </c>
      <c r="CL86" s="755">
        <f t="shared" ref="CL86:CL121" si="157">$X$7*((1/CH86)^0.25)</f>
        <v>4.7012620516795831</v>
      </c>
      <c r="CM86" s="755">
        <f t="shared" ref="CM86:CM121" si="158">$X$7*((1/CI86)^0.25)</f>
        <v>9.2445117763783387</v>
      </c>
      <c r="CN86" s="755">
        <f t="shared" ref="CN86:CN121" si="159">IF($R$30&lt;=40,$AF$7/(CH86^0.25)/SQRT((($AV$10+($AE$7/(CH86^0.25))))),IF($R$30&gt;40,$AF$7/(CH86^0.25)/SQRT((($AW$10+($AE$7/(CH86^0.25))))),""))</f>
        <v>2.51444335627236</v>
      </c>
      <c r="CO86" s="755">
        <f t="shared" ref="CO86:CO121" si="160">IF($R$30&lt;=40,$AF$7/(CI86^0.25)/SQRT((($AV$10+($AE$7/(CI86^0.25))))),IF($R$30&gt;40,$AF$7/(CI86^0.25)/SQRT((($AW$10+($AE$7/(CI86^0.25))))),""))</f>
        <v>3.5761176129404322</v>
      </c>
      <c r="CP86" s="755">
        <f t="shared" si="144"/>
        <v>40.942292502965515</v>
      </c>
      <c r="CQ86" s="755">
        <f t="shared" ref="CQ86:CQ121" si="161">CP86/$AQ$101</f>
        <v>6.6370128445676473</v>
      </c>
      <c r="CR86" s="755">
        <f t="shared" si="145"/>
        <v>34.658537987271224</v>
      </c>
      <c r="CS86" s="755">
        <f t="shared" ref="CS86:CS121" si="162">CR86/2.2</f>
        <v>15.753880903305101</v>
      </c>
      <c r="CT86" s="755">
        <f t="shared" si="146"/>
        <v>5.3696671967297034</v>
      </c>
      <c r="CU86" s="755">
        <f t="shared" si="147"/>
        <v>3.8598108180222437</v>
      </c>
      <c r="CX86" s="755"/>
      <c r="CY86" s="755"/>
      <c r="CZ86" s="755"/>
      <c r="DA86" s="755"/>
      <c r="DB86" s="755"/>
      <c r="DC86" s="755"/>
      <c r="DD86" s="755" t="b">
        <f t="shared" si="96"/>
        <v>0</v>
      </c>
      <c r="DE86" s="755">
        <f t="shared" ref="DE86:DE121" si="163">ABS((DH86-DG86))</f>
        <v>13.266660460561582</v>
      </c>
      <c r="DF86" s="755">
        <v>65</v>
      </c>
      <c r="DG86" s="755">
        <f t="shared" si="97"/>
        <v>17.5</v>
      </c>
      <c r="DH86" s="673">
        <f t="shared" ref="DH86:DH121" si="164">DL86</f>
        <v>4.2333395394384192</v>
      </c>
      <c r="DI86" s="673">
        <f t="shared" ref="DI86:DI121" si="165">$DG$14</f>
        <v>2</v>
      </c>
      <c r="DJ86" s="766" t="b">
        <f t="shared" ref="DJ86:DJ121" si="166">IF(DG86&lt;DI86,TRUE,FALSE)</f>
        <v>0</v>
      </c>
      <c r="DK86" s="673"/>
      <c r="DL86" s="766">
        <f t="shared" ref="DL86:DL121" si="167">((100*(-0.0126+0.01475*($DG$14*((1/DM86)^0.25))))/(1+(-0.0126+0.01475*($DG$14*((1/DM86)^0.25)))))</f>
        <v>4.2333395394384192</v>
      </c>
      <c r="DM86" s="766">
        <f t="shared" ref="DM86:DM121" si="168">DN86*(2.65*($DN$14/0.03)^0.5-1.35)</f>
        <v>7.2736099756903219E-2</v>
      </c>
      <c r="DN86" s="766">
        <f t="shared" ref="DN86:DN121" si="169">((0.03/(2.2*(10^($AS$10+($AT$10*(LOG((0.03*($AB$7+$AC$7))/DG86))))))))</f>
        <v>4.8648777191510843E-3</v>
      </c>
      <c r="DO86" s="766">
        <f t="shared" ref="DO86:DO121" si="170">($DN$14/(2.2*((0.976*DN86+0.022)^0.625)))</f>
        <v>4.9612533558288883</v>
      </c>
      <c r="DP86" s="766">
        <f t="shared" ref="DP86:DP121" si="171">($DN$14/(2.2*((0.956*DN86+0.037)^0.5)))</f>
        <v>2.5283541580435687</v>
      </c>
      <c r="DQ86" s="766">
        <f t="shared" ref="DQ86:DQ121" si="172">$DG$14*((1/DM86)^0.25)</f>
        <v>3.8511682564927443</v>
      </c>
      <c r="DR86" s="766">
        <f t="shared" ref="DR86:DR121" si="173">$DG$14*((1/DN86)^0.25)</f>
        <v>7.5728963645500889</v>
      </c>
      <c r="DS86" s="766">
        <f t="shared" ref="DS86:DS121" si="174">IF($R$30&lt;=40,$AF$7/(DM86^0.25)/SQRT((($AV$10+($AE$7/(DM86^0.25))))),IF($R$30&gt;40,$AF$7/(DM86^0.25)/SQRT((($AW$10+($AE$7/(DM86^0.25))))),""))</f>
        <v>2.2616775053233487</v>
      </c>
      <c r="DT86" s="766">
        <f t="shared" ref="DT86:DT121" si="175">IF($R$30&lt;=40,$AF$7/(DN86^0.25)/SQRT((($AV$10+($AE$7/(DN86^0.25))))),IF($R$30&gt;40,$AF$7/(DN86^0.25)/SQRT((($AW$10+($AE$7/(DN86^0.25))))),""))</f>
        <v>3.2261466034101258</v>
      </c>
      <c r="DU86" s="766">
        <f t="shared" ref="DU86:DU121" si="176">DM86*($AB$7+$AC$7)</f>
        <v>90.920124696129022</v>
      </c>
      <c r="DV86" s="766">
        <f t="shared" ref="DV86:DV121" si="177">DU86/$AQ$101</f>
        <v>14.738745647772229</v>
      </c>
      <c r="DW86" s="766">
        <f t="shared" ref="DW86:DW121" si="178">$DN$14/DM86</f>
        <v>15.607105739708853</v>
      </c>
      <c r="DX86" s="766">
        <f t="shared" ref="DX86:DX121" si="179">DW86/2.2</f>
        <v>7.0941389725949326</v>
      </c>
      <c r="DY86" s="766">
        <f t="shared" ref="DY86:DY121" si="180">((100*(-0.0126+0.01475*($DG$14*((1/DM86)^0.25))))/(1+(-0.0126+0.01475*($DG$14*((1/DM86)^0.25)))))</f>
        <v>4.2333395394384192</v>
      </c>
      <c r="DZ86" s="766">
        <f t="shared" ref="DZ86:DZ121" si="181">((100*(-0.0126+0.01475*DT86)/(1+(-0.0126+0.01475*DT86))))</f>
        <v>3.3803040632622805</v>
      </c>
      <c r="EB86" s="755"/>
      <c r="EC86" s="755"/>
      <c r="ED86" s="755"/>
      <c r="EE86" s="755"/>
      <c r="EF86" s="755" t="b">
        <f t="shared" si="98"/>
        <v>0</v>
      </c>
      <c r="EG86" s="755">
        <f t="shared" ref="EG86:EG121" si="182">ABS((EJ86-EI86))</f>
        <v>34.130332803270299</v>
      </c>
      <c r="EH86" s="755">
        <v>65</v>
      </c>
      <c r="EI86" s="755">
        <f t="shared" si="103"/>
        <v>39.5</v>
      </c>
      <c r="EJ86" s="673">
        <f t="shared" ref="EJ86:EJ121" si="183">EN86</f>
        <v>5.3696671967297034</v>
      </c>
      <c r="EK86" s="673">
        <f t="shared" ref="EK86:EK121" si="184">$Z$7</f>
        <v>2.2510196371999172</v>
      </c>
      <c r="EL86" s="755" t="b">
        <f t="shared" ref="EL86:EL121" si="185">IF(EI86&lt;EK86,TRUE,FALSE)</f>
        <v>0</v>
      </c>
      <c r="EM86" s="673"/>
      <c r="EN86" s="755">
        <f t="shared" ref="EN86:EN121" si="186">((100*(-0.0126+0.01475*($X$7*((1/EO86)^0.25))))/(1+(-0.0126+0.01475*($X$7*((1/EO86)^0.25)))))</f>
        <v>5.3696671967297034</v>
      </c>
      <c r="EO86" s="755">
        <f t="shared" ref="EO86:EO121" si="187">EP86*(2.65*($W$7/0.03)^0.5-1.35)</f>
        <v>3.275383400237241E-2</v>
      </c>
      <c r="EP86" s="755">
        <f t="shared" ref="EP86:EP121" si="188">((0.03/(2.2*(10^($AS$10+($AT$10*(LOG((0.03*($AB$7+$AC$7))/EI86))))))))</f>
        <v>2.1907058226584633E-3</v>
      </c>
      <c r="EQ86" s="755">
        <f t="shared" ref="EQ86:EQ121" si="189">($W$7/(2.2*((0.976*EP86+0.022)^0.625)))</f>
        <v>5.2900521146508828</v>
      </c>
      <c r="ER86" s="755">
        <f t="shared" ref="ER86:ER121" si="190">($W$7/(2.2*((0.956*EP86+0.037)^0.5)))</f>
        <v>2.6097139013282331</v>
      </c>
      <c r="ES86" s="755">
        <f t="shared" ref="ES86:ES121" si="191">$X$7*((1/EO86)^0.25)</f>
        <v>4.7012620516795831</v>
      </c>
      <c r="ET86" s="755">
        <f t="shared" ref="ET86:ET121" si="192">$X$7*((1/EP86)^0.25)</f>
        <v>9.2445117763783387</v>
      </c>
      <c r="EU86" s="755">
        <f t="shared" ref="EU86:EU121" si="193">IF($R$30&lt;=40,$AF$7/(EO86^0.25)/SQRT((($AV$10+($AE$7/(EO86^0.25))))),IF($R$30&gt;40,$AF$7/(EO86^0.25)/SQRT((($AW$10+($AE$7/(EO86^0.25))))),""))</f>
        <v>2.51444335627236</v>
      </c>
      <c r="EV86" s="755">
        <f t="shared" ref="EV86:EV121" si="194">IF($R$30&lt;=40,$AF$7/(EP86^0.25)/SQRT((($AV$10+($AE$7/(EP86^0.25))))),IF($R$30&gt;40,$AF$7/(EP86^0.25)/SQRT((($AW$10+($AE$7/(EP86^0.25))))),""))</f>
        <v>3.5761176129404322</v>
      </c>
      <c r="EW86" s="755">
        <f t="shared" ref="EW86:EW121" si="195">EO86*($AB$7+$AC$7)</f>
        <v>40.942292502965515</v>
      </c>
      <c r="EX86" s="755">
        <f t="shared" ref="EX86:EX121" si="196">EW86/$AQ$101</f>
        <v>6.6370128445676473</v>
      </c>
      <c r="EY86" s="755">
        <f t="shared" si="99"/>
        <v>34.658537987271224</v>
      </c>
      <c r="EZ86" s="755">
        <f t="shared" ref="EZ86:EZ121" si="197">EY86/2.2</f>
        <v>15.753880903305101</v>
      </c>
      <c r="FA86" s="755">
        <f t="shared" ref="FA86:FA121" si="198">((100*(-0.0126+0.01475*($X$7*((1/EO86)^0.25))))/(1+(-0.0126+0.01475*($X$7*((1/EO86)^0.25)))))</f>
        <v>5.3696671967297034</v>
      </c>
      <c r="FB86" s="755">
        <f t="shared" ref="FB86:FB121" si="199">((100*(-0.0126+0.01475*EV86)/(1+(-0.0126+0.01475*EV86))))</f>
        <v>3.8598108180222437</v>
      </c>
      <c r="FC86" s="755"/>
      <c r="FD86" s="755"/>
      <c r="FE86" s="755"/>
      <c r="FF86" s="755"/>
      <c r="FG86" s="755"/>
      <c r="FH86" s="755"/>
      <c r="FI86" s="755"/>
      <c r="FJ86" s="755"/>
      <c r="FK86" s="755" t="b">
        <f t="shared" si="100"/>
        <v>0</v>
      </c>
      <c r="FL86" s="755">
        <f t="shared" ref="FL86:FL121" si="200">ABS((FO86-FN86))</f>
        <v>14.11969593673772</v>
      </c>
      <c r="FM86" s="755">
        <v>65</v>
      </c>
      <c r="FN86" s="767">
        <f t="shared" si="101"/>
        <v>17.5</v>
      </c>
      <c r="FO86" s="673">
        <f t="shared" ref="FO86:FO121" si="201">FS86</f>
        <v>3.3803040632622805</v>
      </c>
      <c r="FP86" s="673">
        <f t="shared" ref="FP86:FP121" si="202">$DQ$14</f>
        <v>2.2510196371999172</v>
      </c>
      <c r="FQ86" s="766" t="b">
        <f t="shared" ref="FQ86:FQ121" si="203">IF(FN86&lt;FP86,TRUE,FALSE)</f>
        <v>0</v>
      </c>
      <c r="FR86" s="673"/>
      <c r="FS86" s="767">
        <f t="shared" ref="FS86:FS121" si="204">GG86</f>
        <v>3.3803040632622805</v>
      </c>
      <c r="FT86" s="766">
        <f t="shared" ref="FT86:FT121" si="205">FU86*(2.65*($DN$14/0.03)^0.5-1.35)</f>
        <v>7.2736099756903219E-2</v>
      </c>
      <c r="FU86" s="766">
        <f t="shared" ref="FU86:FU121" si="206">((0.03/(2.2*(10^($AS$10+($AT$10*(LOG((0.03*($AB$7+$AC$7))/FN86))))))))</f>
        <v>4.8648777191510843E-3</v>
      </c>
      <c r="FV86" s="766">
        <f t="shared" ref="FV86:FV121" si="207">($DN$14/(2.2*((0.976*FU86+0.022)^0.625)))</f>
        <v>4.9612533558288883</v>
      </c>
      <c r="FW86" s="766">
        <f t="shared" ref="FW86:FW121" si="208">($DN$14/(2.2*((0.956*FU86+0.037)^0.5)))</f>
        <v>2.5283541580435687</v>
      </c>
      <c r="FX86" s="766">
        <f t="shared" ref="FX86:FX121" si="209">$DQ$14*((1/FT86)^0.25)</f>
        <v>4.3345276857630672</v>
      </c>
      <c r="FY86" s="766">
        <f t="shared" ref="FY86:FY121" si="210">$DQ$14*((1/FU86)^0.25)</f>
        <v>8.5233692135410557</v>
      </c>
      <c r="FZ86" s="766">
        <f t="shared" ref="FZ86:FZ121" si="211">IF($R$30&lt;=40,$AF$7/(FT86^0.25)/SQRT((($AV$10+($AE$7/(FT86^0.25))))),IF($R$30&gt;40,$AF$7/(FT86^0.25)/SQRT((($AW$10+($AE$7/(FT86^0.25))))),""))</f>
        <v>2.2616775053233487</v>
      </c>
      <c r="GA86" s="766">
        <f t="shared" ref="GA86:GA121" si="212">IF($R$30&lt;=40,$AF$7/(FU86^0.25)/SQRT((($AV$10+($AE$7/(FU86^0.25))))),IF($R$30&gt;40,$AF$7/(FU86^0.25)/SQRT((($AW$10+($AE$7/(FU86^0.25))))),""))</f>
        <v>3.2261466034101258</v>
      </c>
      <c r="GB86" s="766">
        <f t="shared" ref="GB86:GB121" si="213">FT86*($AB$7+$AC$7)</f>
        <v>90.920124696129022</v>
      </c>
      <c r="GC86" s="766">
        <f t="shared" ref="GC86:GC121" si="214">GB86/$AQ$101</f>
        <v>14.738745647772229</v>
      </c>
      <c r="GD86" s="766">
        <f t="shared" ref="GD86:GD121" si="215">$DN$14/FT86</f>
        <v>15.607105739708853</v>
      </c>
      <c r="GE86" s="766">
        <f t="shared" ref="GE86:GE121" si="216">GD86/2.2</f>
        <v>7.0941389725949326</v>
      </c>
      <c r="GF86" s="766">
        <f t="shared" ref="GF86:GF121" si="217">((100*(-0.0126+0.01475*($DQ$14*((1/FT86)^0.25))))/(1+(-0.0126+0.01475*($DQ$14*((1/FT86)^0.25)))))</f>
        <v>4.8827746014996896</v>
      </c>
      <c r="GG86" s="766">
        <f t="shared" ref="GG86:GG121" si="218">((100*(-0.0126+0.01475*GA86)/(1+(-0.0126+0.01475*GA86))))</f>
        <v>3.3803040632622805</v>
      </c>
    </row>
    <row r="87" spans="1:189" ht="15" thickBot="1">
      <c r="B87" s="316"/>
      <c r="C87" s="170"/>
      <c r="D87" s="170"/>
      <c r="E87" s="170"/>
      <c r="F87" s="170"/>
      <c r="G87" s="170"/>
      <c r="H87" s="865"/>
      <c r="I87" s="170"/>
      <c r="J87" s="170"/>
      <c r="K87" s="170"/>
      <c r="L87" s="170"/>
      <c r="M87" s="317"/>
      <c r="N87" s="317"/>
      <c r="O87" s="170"/>
      <c r="P87" s="170"/>
      <c r="Q87" s="170"/>
      <c r="R87" s="170"/>
      <c r="S87" s="170"/>
      <c r="T87" s="866"/>
      <c r="U87" s="866"/>
      <c r="V87" s="170"/>
      <c r="W87" s="170"/>
      <c r="X87" s="170"/>
      <c r="Y87" s="170"/>
      <c r="Z87" s="170"/>
      <c r="AA87" s="170"/>
      <c r="AB87" s="867"/>
      <c r="AC87" s="867"/>
      <c r="AD87" s="867"/>
      <c r="AE87" s="867"/>
      <c r="AF87" s="170"/>
      <c r="AG87" s="170"/>
      <c r="AH87" s="170"/>
      <c r="AI87" s="343"/>
      <c r="AJ87" s="343"/>
      <c r="AK87" s="171"/>
      <c r="AL87" s="237"/>
      <c r="AM87" s="237"/>
      <c r="AN87" t="b">
        <v>1</v>
      </c>
      <c r="AO87" s="1060" t="s">
        <v>540</v>
      </c>
      <c r="AP87" s="1061"/>
      <c r="AQ87" s="72">
        <f>W7/AQ82</f>
        <v>95.064691983736026</v>
      </c>
      <c r="AR87" s="72">
        <f>W8/AR82</f>
        <v>10.438956234067831</v>
      </c>
      <c r="AS87" s="73">
        <f>W9/AS82</f>
        <v>162.97407586254843</v>
      </c>
      <c r="AT87" t="b">
        <v>1</v>
      </c>
      <c r="AU87" s="1064" t="s">
        <v>622</v>
      </c>
      <c r="AV87" s="1065"/>
      <c r="AW87" s="85">
        <f>IF(AX10&lt;=5,0,(0.0086*1.3*0.1*('Soil Water Parameters'!AE33/1000)*(S32*10)*(AX10-5)))</f>
        <v>0</v>
      </c>
      <c r="AX87" s="85">
        <f>IF(AX11&lt;=5,0,(0.0086*1.3*0.1*('Soil Water Parameters'!AE51/1000)*(S52*10)*(AX11-5)))</f>
        <v>2.3012640213945197</v>
      </c>
      <c r="AY87" s="85">
        <f>IF(AX12&lt;=5,0,(0.0086*1.3*0.1*('Soil Water Parameters'!AE69/1000)*(S72*10)*(AX12-5)))</f>
        <v>6.4923302147446273</v>
      </c>
      <c r="BY87" s="753" t="b">
        <f t="shared" ref="BY87:BY121" si="219">IF(BZ87&lt;0.2,TRUE,FALSE)</f>
        <v>0</v>
      </c>
      <c r="BZ87" s="753">
        <f t="shared" si="148"/>
        <v>34.611170252413274</v>
      </c>
      <c r="CA87" s="751">
        <v>66</v>
      </c>
      <c r="CB87" s="752">
        <f t="shared" si="102"/>
        <v>40</v>
      </c>
      <c r="CC87" s="673">
        <f t="shared" si="149"/>
        <v>5.3888297475867271</v>
      </c>
      <c r="CD87" s="91">
        <f t="shared" si="150"/>
        <v>2</v>
      </c>
      <c r="CE87" s="752" t="b">
        <f t="shared" si="151"/>
        <v>0</v>
      </c>
      <c r="CF87" s="673"/>
      <c r="CG87" s="752">
        <f t="shared" si="152"/>
        <v>5.3888297475867271</v>
      </c>
      <c r="CH87" s="752">
        <f t="shared" si="153"/>
        <v>3.2352549167023431E-2</v>
      </c>
      <c r="CI87" s="752">
        <f t="shared" si="154"/>
        <v>2.163866307465223E-3</v>
      </c>
      <c r="CJ87" s="755">
        <f t="shared" si="155"/>
        <v>5.2936433509614975</v>
      </c>
      <c r="CK87" s="755">
        <f t="shared" si="156"/>
        <v>2.6105707333725499</v>
      </c>
      <c r="CL87" s="755">
        <f t="shared" si="157"/>
        <v>4.7157727568566123</v>
      </c>
      <c r="CM87" s="755">
        <f t="shared" si="158"/>
        <v>9.2730454729512974</v>
      </c>
      <c r="CN87" s="755">
        <f t="shared" si="159"/>
        <v>2.5185405066903215</v>
      </c>
      <c r="CO87" s="755">
        <f t="shared" si="160"/>
        <v>3.581795716214994</v>
      </c>
      <c r="CP87" s="755">
        <f t="shared" si="144"/>
        <v>40.44068645877929</v>
      </c>
      <c r="CQ87" s="755">
        <f t="shared" si="161"/>
        <v>6.5556992308286119</v>
      </c>
      <c r="CR87" s="755">
        <f t="shared" si="145"/>
        <v>35.088425154364522</v>
      </c>
      <c r="CS87" s="755">
        <f t="shared" si="162"/>
        <v>15.949284161074781</v>
      </c>
      <c r="CT87" s="755">
        <f t="shared" si="146"/>
        <v>5.3888297475867271</v>
      </c>
      <c r="CU87" s="755">
        <f t="shared" si="147"/>
        <v>3.8675513406525237</v>
      </c>
      <c r="CX87" s="755"/>
      <c r="CY87" s="755"/>
      <c r="CZ87" s="755"/>
      <c r="DA87" s="755"/>
      <c r="DB87" s="755"/>
      <c r="DC87" s="755"/>
      <c r="DD87" s="755" t="b">
        <f t="shared" ref="DD87:DD121" si="220">IF(DE87&lt;0.2,TRUE,FALSE)</f>
        <v>0</v>
      </c>
      <c r="DE87" s="755">
        <f t="shared" si="163"/>
        <v>12.803542639329105</v>
      </c>
      <c r="DF87" s="755">
        <v>66</v>
      </c>
      <c r="DG87" s="755">
        <f t="shared" ref="DG87:DG121" si="221">DG86-0.5</f>
        <v>17</v>
      </c>
      <c r="DH87" s="673">
        <f t="shared" si="164"/>
        <v>4.1964573606708955</v>
      </c>
      <c r="DI87" s="673">
        <f t="shared" si="165"/>
        <v>2</v>
      </c>
      <c r="DJ87" s="766" t="b">
        <f t="shared" si="166"/>
        <v>0</v>
      </c>
      <c r="DK87" s="673"/>
      <c r="DL87" s="766">
        <f t="shared" si="167"/>
        <v>4.1964573606708955</v>
      </c>
      <c r="DM87" s="766">
        <f t="shared" si="168"/>
        <v>7.4832000322846912E-2</v>
      </c>
      <c r="DN87" s="766">
        <f t="shared" si="169"/>
        <v>5.0050598295322216E-3</v>
      </c>
      <c r="DO87" s="766">
        <f t="shared" si="170"/>
        <v>4.9454583438686459</v>
      </c>
      <c r="DP87" s="766">
        <f t="shared" si="171"/>
        <v>2.5242963796534075</v>
      </c>
      <c r="DQ87" s="766">
        <f t="shared" si="172"/>
        <v>3.823914357859143</v>
      </c>
      <c r="DR87" s="766">
        <f t="shared" si="173"/>
        <v>7.5193045876823144</v>
      </c>
      <c r="DS87" s="766">
        <f t="shared" si="174"/>
        <v>2.2531119211214183</v>
      </c>
      <c r="DT87" s="766">
        <f t="shared" si="175"/>
        <v>3.214299043802304</v>
      </c>
      <c r="DU87" s="766">
        <f t="shared" si="176"/>
        <v>93.540000403558636</v>
      </c>
      <c r="DV87" s="766">
        <f t="shared" si="177"/>
        <v>15.163444599842917</v>
      </c>
      <c r="DW87" s="766">
        <f t="shared" si="178"/>
        <v>15.169980691447757</v>
      </c>
      <c r="DX87" s="766">
        <f t="shared" si="179"/>
        <v>6.8954457688398891</v>
      </c>
      <c r="DY87" s="766">
        <f t="shared" si="180"/>
        <v>4.1964573606708955</v>
      </c>
      <c r="DZ87" s="766">
        <f t="shared" si="181"/>
        <v>3.3639876164370768</v>
      </c>
      <c r="EB87" s="755"/>
      <c r="EC87" s="755"/>
      <c r="ED87" s="755"/>
      <c r="EE87" s="755"/>
      <c r="EF87" s="755" t="b">
        <f t="shared" ref="EF87:EF121" si="222">IF(EG87&lt;0.2,TRUE,FALSE)</f>
        <v>0</v>
      </c>
      <c r="EG87" s="755">
        <f t="shared" si="182"/>
        <v>34.611170252413274</v>
      </c>
      <c r="EH87" s="755">
        <v>66</v>
      </c>
      <c r="EI87" s="755">
        <f t="shared" si="103"/>
        <v>40</v>
      </c>
      <c r="EJ87" s="673">
        <f t="shared" si="183"/>
        <v>5.3888297475867271</v>
      </c>
      <c r="EK87" s="673">
        <f t="shared" si="184"/>
        <v>2.2510196371999172</v>
      </c>
      <c r="EL87" s="755" t="b">
        <f t="shared" si="185"/>
        <v>0</v>
      </c>
      <c r="EM87" s="673"/>
      <c r="EN87" s="755">
        <f t="shared" si="186"/>
        <v>5.3888297475867271</v>
      </c>
      <c r="EO87" s="755">
        <f t="shared" si="187"/>
        <v>3.2352549167023431E-2</v>
      </c>
      <c r="EP87" s="755">
        <f t="shared" si="188"/>
        <v>2.163866307465223E-3</v>
      </c>
      <c r="EQ87" s="755">
        <f t="shared" si="189"/>
        <v>5.2936433509614975</v>
      </c>
      <c r="ER87" s="755">
        <f t="shared" si="190"/>
        <v>2.6105707333725499</v>
      </c>
      <c r="ES87" s="755">
        <f t="shared" si="191"/>
        <v>4.7157727568566123</v>
      </c>
      <c r="ET87" s="755">
        <f t="shared" si="192"/>
        <v>9.2730454729512974</v>
      </c>
      <c r="EU87" s="755">
        <f t="shared" si="193"/>
        <v>2.5185405066903215</v>
      </c>
      <c r="EV87" s="755">
        <f t="shared" si="194"/>
        <v>3.581795716214994</v>
      </c>
      <c r="EW87" s="755">
        <f t="shared" si="195"/>
        <v>40.44068645877929</v>
      </c>
      <c r="EX87" s="755">
        <f t="shared" si="196"/>
        <v>6.5556992308286119</v>
      </c>
      <c r="EY87" s="755">
        <f t="shared" ref="EY87:EY121" si="223">$W$7/EO87</f>
        <v>35.088425154364522</v>
      </c>
      <c r="EZ87" s="755">
        <f t="shared" si="197"/>
        <v>15.949284161074781</v>
      </c>
      <c r="FA87" s="755">
        <f t="shared" si="198"/>
        <v>5.3888297475867271</v>
      </c>
      <c r="FB87" s="755">
        <f t="shared" si="199"/>
        <v>3.8675513406525237</v>
      </c>
      <c r="FC87" s="755"/>
      <c r="FD87" s="755"/>
      <c r="FE87" s="755"/>
      <c r="FF87" s="755"/>
      <c r="FG87" s="755"/>
      <c r="FH87" s="755"/>
      <c r="FI87" s="755"/>
      <c r="FJ87" s="755"/>
      <c r="FK87" s="755" t="b">
        <f t="shared" ref="FK87:FK121" si="224">IF(FL87&lt;0.2,TRUE,FALSE)</f>
        <v>0</v>
      </c>
      <c r="FL87" s="755">
        <f t="shared" si="200"/>
        <v>13.636012383562923</v>
      </c>
      <c r="FM87" s="755">
        <v>66</v>
      </c>
      <c r="FN87" s="767">
        <f t="shared" ref="FN87:FN121" si="225">FN86-0.5</f>
        <v>17</v>
      </c>
      <c r="FO87" s="673">
        <f t="shared" si="201"/>
        <v>3.3639876164370768</v>
      </c>
      <c r="FP87" s="673">
        <f t="shared" si="202"/>
        <v>2.2510196371999172</v>
      </c>
      <c r="FQ87" s="766" t="b">
        <f t="shared" si="203"/>
        <v>0</v>
      </c>
      <c r="FR87" s="673"/>
      <c r="FS87" s="767">
        <f t="shared" si="204"/>
        <v>3.3639876164370768</v>
      </c>
      <c r="FT87" s="766">
        <f t="shared" si="205"/>
        <v>7.4832000322846912E-2</v>
      </c>
      <c r="FU87" s="766">
        <f t="shared" si="206"/>
        <v>5.0050598295322216E-3</v>
      </c>
      <c r="FV87" s="766">
        <f t="shared" si="207"/>
        <v>4.9454583438686459</v>
      </c>
      <c r="FW87" s="766">
        <f t="shared" si="208"/>
        <v>2.5242963796534075</v>
      </c>
      <c r="FX87" s="766">
        <f t="shared" si="209"/>
        <v>4.3038531552558208</v>
      </c>
      <c r="FY87" s="766">
        <f t="shared" si="210"/>
        <v>8.4630511424801576</v>
      </c>
      <c r="FZ87" s="766">
        <f t="shared" si="211"/>
        <v>2.2531119211214183</v>
      </c>
      <c r="GA87" s="766">
        <f t="shared" si="212"/>
        <v>3.214299043802304</v>
      </c>
      <c r="GB87" s="766">
        <f t="shared" si="213"/>
        <v>93.540000403558636</v>
      </c>
      <c r="GC87" s="766">
        <f t="shared" si="214"/>
        <v>15.163444599842917</v>
      </c>
      <c r="GD87" s="766">
        <f t="shared" si="215"/>
        <v>15.169980691447757</v>
      </c>
      <c r="GE87" s="766">
        <f t="shared" si="216"/>
        <v>6.8954457688398891</v>
      </c>
      <c r="GF87" s="766">
        <f t="shared" si="217"/>
        <v>4.8418225905012156</v>
      </c>
      <c r="GG87" s="766">
        <f t="shared" si="218"/>
        <v>3.3639876164370768</v>
      </c>
    </row>
    <row r="88" spans="1:189">
      <c r="B88" s="161"/>
      <c r="C88" s="161"/>
      <c r="D88" s="161"/>
      <c r="E88" s="161"/>
      <c r="F88" s="161"/>
      <c r="G88" s="161"/>
      <c r="H88" s="161"/>
      <c r="I88" s="161"/>
      <c r="J88" s="161"/>
      <c r="K88" s="161"/>
      <c r="L88" s="161"/>
      <c r="M88" s="177"/>
      <c r="N88" s="177"/>
      <c r="O88" s="161"/>
      <c r="P88" s="161"/>
      <c r="Q88" s="161"/>
      <c r="R88" s="161"/>
      <c r="S88" s="161"/>
      <c r="T88" s="177"/>
      <c r="U88" s="177"/>
      <c r="V88" s="161"/>
      <c r="W88" s="161"/>
      <c r="X88" s="161"/>
      <c r="Y88" s="161"/>
      <c r="Z88" s="161"/>
      <c r="AA88" s="162"/>
      <c r="AB88" s="161"/>
      <c r="AC88" s="161"/>
      <c r="AD88" s="161"/>
      <c r="AE88" s="177"/>
      <c r="AF88" s="161"/>
      <c r="AG88" s="161"/>
      <c r="AH88" s="161"/>
      <c r="AI88" s="282"/>
      <c r="AJ88" s="282"/>
      <c r="AK88" s="282"/>
      <c r="AL88" s="282"/>
      <c r="AM88" s="282"/>
      <c r="AN88" t="b">
        <v>1</v>
      </c>
      <c r="AO88" s="1060" t="s">
        <v>541</v>
      </c>
      <c r="AP88" s="1061"/>
      <c r="AQ88" s="74">
        <f>AQ87/2.2</f>
        <v>43.21122362897092</v>
      </c>
      <c r="AR88" s="74">
        <f>AR87/2.2</f>
        <v>4.7449801063944683</v>
      </c>
      <c r="AS88" s="75">
        <f>AS87/2.2</f>
        <v>74.079125392067468</v>
      </c>
      <c r="AT88" t="b">
        <v>1</v>
      </c>
      <c r="AU88" s="1064" t="s">
        <v>623</v>
      </c>
      <c r="AV88" s="1065"/>
      <c r="AW88" s="85">
        <f>IF(AY10&lt;=5,0,((AY10-5)/100)*S32*1.375*1.111*1.3)</f>
        <v>0</v>
      </c>
      <c r="AX88" s="85">
        <f>IF(AY11&lt;=5,0,((AY11-5)/100)*S52*1.375*1.111*1.3)</f>
        <v>3.3014552363432688</v>
      </c>
      <c r="AY88" s="85">
        <f>IF(AY12&lt;=5,0,((AY12-5)/100)*S72*1.375*1.111*1.3)</f>
        <v>8.7879526173972842</v>
      </c>
      <c r="BY88" s="753" t="b">
        <f t="shared" si="219"/>
        <v>0</v>
      </c>
      <c r="BZ88" s="753">
        <f t="shared" si="148"/>
        <v>35.092195354118317</v>
      </c>
      <c r="CA88" s="751">
        <v>67</v>
      </c>
      <c r="CB88" s="752">
        <f t="shared" ref="CB88:CB121" si="226">CB87+0.5</f>
        <v>40.5</v>
      </c>
      <c r="CC88" s="673">
        <f t="shared" si="149"/>
        <v>5.4078046458816837</v>
      </c>
      <c r="CD88" s="91">
        <f t="shared" si="150"/>
        <v>2</v>
      </c>
      <c r="CE88" s="752" t="b">
        <f t="shared" si="151"/>
        <v>0</v>
      </c>
      <c r="CF88" s="673"/>
      <c r="CG88" s="752">
        <f t="shared" si="152"/>
        <v>5.4078046458816837</v>
      </c>
      <c r="CH88" s="752">
        <f t="shared" si="153"/>
        <v>3.1961074735219155E-2</v>
      </c>
      <c r="CI88" s="752">
        <f t="shared" si="154"/>
        <v>2.1376829508202139E-3</v>
      </c>
      <c r="CJ88" s="755">
        <f t="shared" si="155"/>
        <v>5.2971529052518198</v>
      </c>
      <c r="CK88" s="755">
        <f t="shared" si="156"/>
        <v>2.611407431814122</v>
      </c>
      <c r="CL88" s="755">
        <f t="shared" si="157"/>
        <v>4.7301471565668631</v>
      </c>
      <c r="CM88" s="755">
        <f t="shared" si="158"/>
        <v>9.3013111399017951</v>
      </c>
      <c r="CN88" s="755">
        <f t="shared" si="159"/>
        <v>2.5225926847131803</v>
      </c>
      <c r="CO88" s="755">
        <f t="shared" si="160"/>
        <v>3.5874116507635443</v>
      </c>
      <c r="CP88" s="755">
        <f t="shared" si="144"/>
        <v>39.951343419023942</v>
      </c>
      <c r="CQ88" s="755">
        <f t="shared" si="161"/>
        <v>6.4763735301483001</v>
      </c>
      <c r="CR88" s="755">
        <f t="shared" si="145"/>
        <v>35.518204860272697</v>
      </c>
      <c r="CS88" s="755">
        <f t="shared" si="162"/>
        <v>16.144638572851225</v>
      </c>
      <c r="CT88" s="755">
        <f t="shared" si="146"/>
        <v>5.4078046458816837</v>
      </c>
      <c r="CU88" s="755">
        <f t="shared" si="147"/>
        <v>3.8752058874974376</v>
      </c>
      <c r="CX88" s="755"/>
      <c r="CY88" s="755"/>
      <c r="CZ88" s="755"/>
      <c r="DA88" s="755"/>
      <c r="DB88" s="755"/>
      <c r="DC88" s="755"/>
      <c r="DD88" s="755" t="b">
        <f t="shared" si="220"/>
        <v>0</v>
      </c>
      <c r="DE88" s="755">
        <f t="shared" si="163"/>
        <v>12.341282531105033</v>
      </c>
      <c r="DF88" s="755">
        <v>67</v>
      </c>
      <c r="DG88" s="755">
        <f t="shared" si="221"/>
        <v>16.5</v>
      </c>
      <c r="DH88" s="673">
        <f t="shared" si="164"/>
        <v>4.1587174688949657</v>
      </c>
      <c r="DI88" s="673">
        <f t="shared" si="165"/>
        <v>2</v>
      </c>
      <c r="DJ88" s="766" t="b">
        <f t="shared" si="166"/>
        <v>0</v>
      </c>
      <c r="DK88" s="673"/>
      <c r="DL88" s="766">
        <f t="shared" si="167"/>
        <v>4.1587174688949657</v>
      </c>
      <c r="DM88" s="766">
        <f t="shared" si="168"/>
        <v>7.705361738349914E-2</v>
      </c>
      <c r="DN88" s="766">
        <f t="shared" si="169"/>
        <v>5.1536503557630042E-3</v>
      </c>
      <c r="DO88" s="766">
        <f t="shared" si="170"/>
        <v>4.928857895705975</v>
      </c>
      <c r="DP88" s="766">
        <f t="shared" si="171"/>
        <v>2.5200164656568242</v>
      </c>
      <c r="DQ88" s="766">
        <f t="shared" si="172"/>
        <v>3.7960483699334744</v>
      </c>
      <c r="DR88" s="766">
        <f t="shared" si="173"/>
        <v>7.4645092049303079</v>
      </c>
      <c r="DS88" s="766">
        <f t="shared" si="174"/>
        <v>2.2443207263693132</v>
      </c>
      <c r="DT88" s="766">
        <f t="shared" si="175"/>
        <v>3.202140302621459</v>
      </c>
      <c r="DU88" s="766">
        <f t="shared" si="176"/>
        <v>96.31702172937392</v>
      </c>
      <c r="DV88" s="766">
        <f t="shared" si="177"/>
        <v>15.613617882341432</v>
      </c>
      <c r="DW88" s="766">
        <f t="shared" si="178"/>
        <v>14.732598397685356</v>
      </c>
      <c r="DX88" s="766">
        <f t="shared" si="179"/>
        <v>6.6966356353115248</v>
      </c>
      <c r="DY88" s="766">
        <f t="shared" si="180"/>
        <v>4.1587174688949657</v>
      </c>
      <c r="DZ88" s="766">
        <f t="shared" si="181"/>
        <v>3.3472368798507537</v>
      </c>
      <c r="EB88" s="755"/>
      <c r="EC88" s="755"/>
      <c r="ED88" s="755"/>
      <c r="EE88" s="755"/>
      <c r="EF88" s="755" t="b">
        <f t="shared" si="222"/>
        <v>0</v>
      </c>
      <c r="EG88" s="755">
        <f t="shared" si="182"/>
        <v>35.092195354118317</v>
      </c>
      <c r="EH88" s="755">
        <v>67</v>
      </c>
      <c r="EI88" s="755">
        <f t="shared" ref="EI88:EI121" si="227">EI87+0.5</f>
        <v>40.5</v>
      </c>
      <c r="EJ88" s="673">
        <f t="shared" si="183"/>
        <v>5.4078046458816837</v>
      </c>
      <c r="EK88" s="673">
        <f t="shared" si="184"/>
        <v>2.2510196371999172</v>
      </c>
      <c r="EL88" s="755" t="b">
        <f t="shared" si="185"/>
        <v>0</v>
      </c>
      <c r="EM88" s="673"/>
      <c r="EN88" s="755">
        <f t="shared" si="186"/>
        <v>5.4078046458816837</v>
      </c>
      <c r="EO88" s="755">
        <f t="shared" si="187"/>
        <v>3.1961074735219155E-2</v>
      </c>
      <c r="EP88" s="755">
        <f t="shared" si="188"/>
        <v>2.1376829508202139E-3</v>
      </c>
      <c r="EQ88" s="755">
        <f t="shared" si="189"/>
        <v>5.2971529052518198</v>
      </c>
      <c r="ER88" s="755">
        <f t="shared" si="190"/>
        <v>2.611407431814122</v>
      </c>
      <c r="ES88" s="755">
        <f t="shared" si="191"/>
        <v>4.7301471565668631</v>
      </c>
      <c r="ET88" s="755">
        <f t="shared" si="192"/>
        <v>9.3013111399017951</v>
      </c>
      <c r="EU88" s="755">
        <f t="shared" si="193"/>
        <v>2.5225926847131803</v>
      </c>
      <c r="EV88" s="755">
        <f t="shared" si="194"/>
        <v>3.5874116507635443</v>
      </c>
      <c r="EW88" s="755">
        <f t="shared" si="195"/>
        <v>39.951343419023942</v>
      </c>
      <c r="EX88" s="755">
        <f t="shared" si="196"/>
        <v>6.4763735301483001</v>
      </c>
      <c r="EY88" s="755">
        <f t="shared" si="223"/>
        <v>35.518204860272697</v>
      </c>
      <c r="EZ88" s="755">
        <f t="shared" si="197"/>
        <v>16.144638572851225</v>
      </c>
      <c r="FA88" s="755">
        <f t="shared" si="198"/>
        <v>5.4078046458816837</v>
      </c>
      <c r="FB88" s="755">
        <f t="shared" si="199"/>
        <v>3.8752058874974376</v>
      </c>
      <c r="FC88" s="755"/>
      <c r="FD88" s="755"/>
      <c r="FE88" s="755"/>
      <c r="FF88" s="755"/>
      <c r="FG88" s="755"/>
      <c r="FH88" s="755"/>
      <c r="FI88" s="755"/>
      <c r="FJ88" s="755"/>
      <c r="FK88" s="755" t="b">
        <f t="shared" si="224"/>
        <v>0</v>
      </c>
      <c r="FL88" s="755">
        <f t="shared" si="200"/>
        <v>13.152763120149245</v>
      </c>
      <c r="FM88" s="755">
        <v>67</v>
      </c>
      <c r="FN88" s="767">
        <f t="shared" si="225"/>
        <v>16.5</v>
      </c>
      <c r="FO88" s="673">
        <f t="shared" si="201"/>
        <v>3.3472368798507537</v>
      </c>
      <c r="FP88" s="673">
        <f t="shared" si="202"/>
        <v>2.2510196371999172</v>
      </c>
      <c r="FQ88" s="766" t="b">
        <f t="shared" si="203"/>
        <v>0</v>
      </c>
      <c r="FR88" s="673"/>
      <c r="FS88" s="767">
        <f t="shared" si="204"/>
        <v>3.3472368798507537</v>
      </c>
      <c r="FT88" s="766">
        <f t="shared" si="205"/>
        <v>7.705361738349914E-2</v>
      </c>
      <c r="FU88" s="766">
        <f t="shared" si="206"/>
        <v>5.1536503557630042E-3</v>
      </c>
      <c r="FV88" s="766">
        <f t="shared" si="207"/>
        <v>4.928857895705975</v>
      </c>
      <c r="FW88" s="766">
        <f t="shared" si="208"/>
        <v>2.5200164656568242</v>
      </c>
      <c r="FX88" s="766">
        <f t="shared" si="209"/>
        <v>4.2724897122404935</v>
      </c>
      <c r="FY88" s="766">
        <f t="shared" si="210"/>
        <v>8.4013784011788317</v>
      </c>
      <c r="FZ88" s="766">
        <f t="shared" si="211"/>
        <v>2.2443207263693132</v>
      </c>
      <c r="GA88" s="766">
        <f t="shared" si="212"/>
        <v>3.202140302621459</v>
      </c>
      <c r="GB88" s="766">
        <f t="shared" si="213"/>
        <v>96.31702172937392</v>
      </c>
      <c r="GC88" s="766">
        <f t="shared" si="214"/>
        <v>15.613617882341432</v>
      </c>
      <c r="GD88" s="766">
        <f t="shared" si="215"/>
        <v>14.732598397685356</v>
      </c>
      <c r="GE88" s="766">
        <f t="shared" si="216"/>
        <v>6.6966356353115248</v>
      </c>
      <c r="GF88" s="766">
        <f t="shared" si="217"/>
        <v>4.7999143712625321</v>
      </c>
      <c r="GG88" s="766">
        <f t="shared" si="218"/>
        <v>3.3472368798507537</v>
      </c>
    </row>
    <row r="89" spans="1:189" ht="15" thickBot="1">
      <c r="B89" s="161"/>
      <c r="C89" s="161"/>
      <c r="D89" s="161"/>
      <c r="E89" s="161"/>
      <c r="F89" s="161"/>
      <c r="G89" s="161"/>
      <c r="H89" s="161"/>
      <c r="I89" s="161"/>
      <c r="J89" s="161"/>
      <c r="K89" s="161"/>
      <c r="L89" s="161"/>
      <c r="M89" s="161"/>
      <c r="N89" s="161"/>
      <c r="O89" s="161"/>
      <c r="P89" s="161"/>
      <c r="Q89" s="161"/>
      <c r="R89" s="161"/>
      <c r="S89" s="161"/>
      <c r="T89" s="177"/>
      <c r="U89" s="177"/>
      <c r="V89" s="161"/>
      <c r="W89" s="161"/>
      <c r="X89" s="161"/>
      <c r="Y89" s="161"/>
      <c r="Z89" s="161"/>
      <c r="AB89" s="161"/>
      <c r="AC89" s="161"/>
      <c r="AD89" s="161"/>
      <c r="AE89" s="161"/>
      <c r="AF89" s="161"/>
      <c r="AG89" s="161"/>
      <c r="AH89" s="161"/>
      <c r="AI89" s="283"/>
      <c r="AJ89" s="283"/>
      <c r="AK89" s="283"/>
      <c r="AL89" s="283"/>
      <c r="AM89" s="283"/>
      <c r="AN89" t="b">
        <v>1</v>
      </c>
      <c r="AO89" s="1062" t="s">
        <v>619</v>
      </c>
      <c r="AP89" s="1063"/>
      <c r="AQ89" s="76">
        <f>((100*(-0.0126+0.01475*(X7*((1/AQ82)^0.25))))/(1+(-0.0126+0.01475*(X7*((1/AQ82)^0.25)))))</f>
        <v>7.1184278504927434</v>
      </c>
      <c r="AR89" s="76">
        <f>((100*(-0.0126+0.01475*(X8*((1/AR82)^0.25))))/(1+(-0.0126+0.01475*(X8*((1/AR82)^0.25)))))</f>
        <v>38.102423490714543</v>
      </c>
      <c r="AS89" s="77">
        <f>((100*(-0.0126+0.01475*(X9*((1/AS82)^0.25))))/(1+(-0.0126+0.01475*(X9*((1/AS82)^0.25)))))</f>
        <v>53.220148278834699</v>
      </c>
      <c r="AU89" s="1064" t="s">
        <v>624</v>
      </c>
      <c r="AV89" s="1065"/>
      <c r="AW89" s="85">
        <f>IF(AY10&lt;=5,0,(0.0086*1.3*0.1*('Soil Water Parameters'!AE33/1000)*(S32*10)*(AY10-5)))</f>
        <v>0</v>
      </c>
      <c r="AX89" s="85">
        <f>IF(AY11&lt;=5,0,(0.0086*1.3*0.1*('Soil Water Parameters'!AE51/1000)*(S52*10)*(AY11-5)))</f>
        <v>2.9677126744634421</v>
      </c>
      <c r="AY89" s="85">
        <f>IF(AY12&lt;=5,0,(0.0086*1.3*0.1*('Soil Water Parameters'!AE69/1000)*(S72*10)*(AY12-5)))</f>
        <v>7.7077942839928051</v>
      </c>
      <c r="BY89" s="753" t="b">
        <f t="shared" si="219"/>
        <v>0</v>
      </c>
      <c r="BZ89" s="753">
        <f t="shared" si="148"/>
        <v>35.573404009022539</v>
      </c>
      <c r="CA89" s="751">
        <v>68</v>
      </c>
      <c r="CB89" s="752">
        <f t="shared" si="226"/>
        <v>41</v>
      </c>
      <c r="CC89" s="673">
        <f t="shared" si="149"/>
        <v>5.4265959909774617</v>
      </c>
      <c r="CD89" s="91">
        <f t="shared" si="150"/>
        <v>2</v>
      </c>
      <c r="CE89" s="752" t="b">
        <f t="shared" si="151"/>
        <v>0</v>
      </c>
      <c r="CF89" s="673"/>
      <c r="CG89" s="752">
        <f t="shared" si="152"/>
        <v>5.4265959909774617</v>
      </c>
      <c r="CH89" s="752">
        <f t="shared" si="153"/>
        <v>3.1579054138695779E-2</v>
      </c>
      <c r="CI89" s="752">
        <f t="shared" si="154"/>
        <v>2.1121319040292154E-3</v>
      </c>
      <c r="CJ89" s="755">
        <f t="shared" si="155"/>
        <v>5.3005835444780685</v>
      </c>
      <c r="CK89" s="755">
        <f t="shared" si="156"/>
        <v>2.6122247006459145</v>
      </c>
      <c r="CL89" s="755">
        <f t="shared" si="157"/>
        <v>4.7443881905238108</v>
      </c>
      <c r="CM89" s="755">
        <f t="shared" si="158"/>
        <v>9.3293145578511876</v>
      </c>
      <c r="CN89" s="755">
        <f t="shared" si="159"/>
        <v>2.5266009307276791</v>
      </c>
      <c r="CO89" s="755">
        <f t="shared" si="160"/>
        <v>3.5929668528771082</v>
      </c>
      <c r="CP89" s="755">
        <f t="shared" si="144"/>
        <v>39.473817673369723</v>
      </c>
      <c r="CQ89" s="755">
        <f t="shared" si="161"/>
        <v>6.3989634899731138</v>
      </c>
      <c r="CR89" s="755">
        <f t="shared" si="145"/>
        <v>35.947878458112804</v>
      </c>
      <c r="CS89" s="755">
        <f t="shared" si="162"/>
        <v>16.339944753687636</v>
      </c>
      <c r="CT89" s="755">
        <f t="shared" si="146"/>
        <v>5.4265959909774617</v>
      </c>
      <c r="CU89" s="755">
        <f t="shared" si="147"/>
        <v>3.8827764565402982</v>
      </c>
      <c r="CX89" s="755"/>
      <c r="CY89" s="755"/>
      <c r="CZ89" s="755"/>
      <c r="DA89" s="755"/>
      <c r="DB89" s="755"/>
      <c r="DC89" s="755"/>
      <c r="DD89" s="755" t="b">
        <f t="shared" si="220"/>
        <v>0</v>
      </c>
      <c r="DE89" s="755">
        <f t="shared" si="163"/>
        <v>11.879926791731734</v>
      </c>
      <c r="DF89" s="755">
        <v>68</v>
      </c>
      <c r="DG89" s="755">
        <f t="shared" si="221"/>
        <v>16</v>
      </c>
      <c r="DH89" s="673">
        <f t="shared" si="164"/>
        <v>4.1200732082682654</v>
      </c>
      <c r="DI89" s="673">
        <f t="shared" si="165"/>
        <v>2</v>
      </c>
      <c r="DJ89" s="766" t="b">
        <f t="shared" si="166"/>
        <v>0</v>
      </c>
      <c r="DK89" s="673"/>
      <c r="DL89" s="766">
        <f t="shared" si="167"/>
        <v>4.1200732082682654</v>
      </c>
      <c r="DM89" s="766">
        <f t="shared" si="168"/>
        <v>7.9412654702472524E-2</v>
      </c>
      <c r="DN89" s="766">
        <f t="shared" si="169"/>
        <v>5.3114320917933356E-3</v>
      </c>
      <c r="DO89" s="766">
        <f t="shared" si="170"/>
        <v>4.9113883171627126</v>
      </c>
      <c r="DP89" s="766">
        <f t="shared" si="171"/>
        <v>2.5154955599517086</v>
      </c>
      <c r="DQ89" s="766">
        <f t="shared" si="172"/>
        <v>3.7675373553903144</v>
      </c>
      <c r="DR89" s="766">
        <f t="shared" si="173"/>
        <v>7.4084454486871154</v>
      </c>
      <c r="DS89" s="766">
        <f t="shared" si="174"/>
        <v>2.2352908565221874</v>
      </c>
      <c r="DT89" s="766">
        <f t="shared" si="175"/>
        <v>3.1896523864008186</v>
      </c>
      <c r="DU89" s="766">
        <f t="shared" si="176"/>
        <v>99.265818378090657</v>
      </c>
      <c r="DV89" s="766">
        <f t="shared" si="177"/>
        <v>16.091637065857682</v>
      </c>
      <c r="DW89" s="766">
        <f t="shared" si="178"/>
        <v>14.294950902386285</v>
      </c>
      <c r="DX89" s="766">
        <f t="shared" si="179"/>
        <v>6.4977049556301285</v>
      </c>
      <c r="DY89" s="766">
        <f t="shared" si="180"/>
        <v>4.1200732082682654</v>
      </c>
      <c r="DZ89" s="766">
        <f t="shared" si="181"/>
        <v>3.3300266024670675</v>
      </c>
      <c r="EB89" s="755"/>
      <c r="EC89" s="755"/>
      <c r="ED89" s="755"/>
      <c r="EE89" s="755"/>
      <c r="EF89" s="755" t="b">
        <f t="shared" si="222"/>
        <v>0</v>
      </c>
      <c r="EG89" s="755">
        <f t="shared" si="182"/>
        <v>35.573404009022539</v>
      </c>
      <c r="EH89" s="755">
        <v>68</v>
      </c>
      <c r="EI89" s="755">
        <f t="shared" si="227"/>
        <v>41</v>
      </c>
      <c r="EJ89" s="673">
        <f t="shared" si="183"/>
        <v>5.4265959909774617</v>
      </c>
      <c r="EK89" s="673">
        <f t="shared" si="184"/>
        <v>2.2510196371999172</v>
      </c>
      <c r="EL89" s="755" t="b">
        <f t="shared" si="185"/>
        <v>0</v>
      </c>
      <c r="EM89" s="673"/>
      <c r="EN89" s="755">
        <f t="shared" si="186"/>
        <v>5.4265959909774617</v>
      </c>
      <c r="EO89" s="755">
        <f t="shared" si="187"/>
        <v>3.1579054138695779E-2</v>
      </c>
      <c r="EP89" s="755">
        <f t="shared" si="188"/>
        <v>2.1121319040292154E-3</v>
      </c>
      <c r="EQ89" s="755">
        <f t="shared" si="189"/>
        <v>5.3005835444780685</v>
      </c>
      <c r="ER89" s="755">
        <f t="shared" si="190"/>
        <v>2.6122247006459145</v>
      </c>
      <c r="ES89" s="755">
        <f t="shared" si="191"/>
        <v>4.7443881905238108</v>
      </c>
      <c r="ET89" s="755">
        <f t="shared" si="192"/>
        <v>9.3293145578511876</v>
      </c>
      <c r="EU89" s="755">
        <f t="shared" si="193"/>
        <v>2.5266009307276791</v>
      </c>
      <c r="EV89" s="755">
        <f t="shared" si="194"/>
        <v>3.5929668528771082</v>
      </c>
      <c r="EW89" s="755">
        <f t="shared" si="195"/>
        <v>39.473817673369723</v>
      </c>
      <c r="EX89" s="755">
        <f t="shared" si="196"/>
        <v>6.3989634899731138</v>
      </c>
      <c r="EY89" s="755">
        <f t="shared" si="223"/>
        <v>35.947878458112804</v>
      </c>
      <c r="EZ89" s="755">
        <f t="shared" si="197"/>
        <v>16.339944753687636</v>
      </c>
      <c r="FA89" s="755">
        <f t="shared" si="198"/>
        <v>5.4265959909774617</v>
      </c>
      <c r="FB89" s="755">
        <f t="shared" si="199"/>
        <v>3.8827764565402982</v>
      </c>
      <c r="FC89" s="755"/>
      <c r="FD89" s="755"/>
      <c r="FE89" s="755"/>
      <c r="FF89" s="755"/>
      <c r="FG89" s="755"/>
      <c r="FH89" s="755"/>
      <c r="FI89" s="755"/>
      <c r="FJ89" s="755"/>
      <c r="FK89" s="755" t="b">
        <f t="shared" si="224"/>
        <v>0</v>
      </c>
      <c r="FL89" s="755">
        <f t="shared" si="200"/>
        <v>12.669973397532932</v>
      </c>
      <c r="FM89" s="755">
        <v>68</v>
      </c>
      <c r="FN89" s="767">
        <f t="shared" si="225"/>
        <v>16</v>
      </c>
      <c r="FO89" s="673">
        <f t="shared" si="201"/>
        <v>3.3300266024670675</v>
      </c>
      <c r="FP89" s="673">
        <f t="shared" si="202"/>
        <v>2.2510196371999172</v>
      </c>
      <c r="FQ89" s="766" t="b">
        <f t="shared" si="203"/>
        <v>0</v>
      </c>
      <c r="FR89" s="673"/>
      <c r="FS89" s="767">
        <f t="shared" si="204"/>
        <v>3.3300266024670675</v>
      </c>
      <c r="FT89" s="766">
        <f t="shared" si="205"/>
        <v>7.9412654702472524E-2</v>
      </c>
      <c r="FU89" s="766">
        <f t="shared" si="206"/>
        <v>5.3114320917933356E-3</v>
      </c>
      <c r="FV89" s="766">
        <f t="shared" si="207"/>
        <v>4.9113883171627126</v>
      </c>
      <c r="FW89" s="766">
        <f t="shared" si="208"/>
        <v>2.5154955599517086</v>
      </c>
      <c r="FX89" s="766">
        <f t="shared" si="209"/>
        <v>4.2404002854339202</v>
      </c>
      <c r="FY89" s="766">
        <f t="shared" si="210"/>
        <v>8.3382780930595235</v>
      </c>
      <c r="FZ89" s="766">
        <f t="shared" si="211"/>
        <v>2.2352908565221874</v>
      </c>
      <c r="GA89" s="766">
        <f t="shared" si="212"/>
        <v>3.1896523864008186</v>
      </c>
      <c r="GB89" s="766">
        <f t="shared" si="213"/>
        <v>99.265818378090657</v>
      </c>
      <c r="GC89" s="766">
        <f t="shared" si="214"/>
        <v>16.091637065857682</v>
      </c>
      <c r="GD89" s="766">
        <f t="shared" si="215"/>
        <v>14.294950902386285</v>
      </c>
      <c r="GE89" s="766">
        <f t="shared" si="216"/>
        <v>6.4977049556301285</v>
      </c>
      <c r="GF89" s="766">
        <f t="shared" si="217"/>
        <v>4.7569978614968216</v>
      </c>
      <c r="GG89" s="766">
        <f t="shared" si="218"/>
        <v>3.3300266024670675</v>
      </c>
    </row>
    <row r="90" spans="1:189">
      <c r="B90" s="161"/>
      <c r="C90" s="161"/>
      <c r="D90" s="161"/>
      <c r="E90" s="161"/>
      <c r="F90" s="161"/>
      <c r="G90" s="161"/>
      <c r="H90" s="161"/>
      <c r="I90" s="161"/>
      <c r="J90" s="161"/>
      <c r="K90" s="161"/>
      <c r="L90" s="161"/>
      <c r="M90" s="161"/>
      <c r="N90" s="161"/>
      <c r="O90" s="161"/>
      <c r="P90" s="161"/>
      <c r="Q90" s="161"/>
      <c r="R90" s="161"/>
      <c r="S90" s="161"/>
      <c r="T90" s="163"/>
      <c r="U90" s="161"/>
      <c r="V90" s="161"/>
      <c r="W90" s="161"/>
      <c r="X90" s="161"/>
      <c r="Y90" s="161"/>
      <c r="Z90" s="161"/>
      <c r="AF90" s="183"/>
      <c r="AG90" s="183"/>
      <c r="AH90" s="183"/>
      <c r="AI90" s="183"/>
      <c r="AJ90" s="183"/>
      <c r="AK90" s="183"/>
      <c r="AL90" s="183"/>
      <c r="AM90" s="183"/>
      <c r="AO90" s="89" t="s">
        <v>620</v>
      </c>
      <c r="AQ90" s="86">
        <f>((100*(-0.0126+0.01475*BA53)/(1+(-0.0126+0.01475*BA53))))</f>
        <v>2.888300413535374</v>
      </c>
      <c r="AR90" s="86">
        <f>((100*(-0.0126+0.01475*BB53)/(1+(-0.0126+0.01475*BB53))))</f>
        <v>32.110567567294041</v>
      </c>
      <c r="AS90" s="86">
        <f>((100*(-0.0126+0.01475*BC53)/(1+(-0.0126+0.01475*BC53))))</f>
        <v>36.76853370260222</v>
      </c>
      <c r="AU90" s="230"/>
      <c r="AV90" s="132"/>
      <c r="BY90" s="753" t="b">
        <f t="shared" si="219"/>
        <v>0</v>
      </c>
      <c r="BZ90" s="753">
        <f t="shared" si="148"/>
        <v>36.054792255839686</v>
      </c>
      <c r="CA90" s="751">
        <v>69</v>
      </c>
      <c r="CB90" s="752">
        <f t="shared" si="226"/>
        <v>41.5</v>
      </c>
      <c r="CC90" s="673">
        <f t="shared" si="149"/>
        <v>5.4452077441603102</v>
      </c>
      <c r="CD90" s="91">
        <f t="shared" si="150"/>
        <v>2</v>
      </c>
      <c r="CE90" s="752" t="b">
        <f t="shared" si="151"/>
        <v>0</v>
      </c>
      <c r="CF90" s="673"/>
      <c r="CG90" s="752">
        <f t="shared" si="152"/>
        <v>5.4452077441603102</v>
      </c>
      <c r="CH90" s="752">
        <f t="shared" si="153"/>
        <v>3.1206147909363543E-2</v>
      </c>
      <c r="CI90" s="752">
        <f t="shared" si="154"/>
        <v>2.0871904621252058E-3</v>
      </c>
      <c r="CJ90" s="755">
        <f t="shared" si="155"/>
        <v>5.3039379117216878</v>
      </c>
      <c r="CK90" s="755">
        <f t="shared" si="156"/>
        <v>2.6130232113538394</v>
      </c>
      <c r="CL90" s="755">
        <f t="shared" si="157"/>
        <v>4.758498700120593</v>
      </c>
      <c r="CM90" s="755">
        <f t="shared" si="158"/>
        <v>9.3570613140847723</v>
      </c>
      <c r="CN90" s="755">
        <f t="shared" si="159"/>
        <v>2.5305662487171685</v>
      </c>
      <c r="CO90" s="755">
        <f t="shared" si="160"/>
        <v>3.5984627086358567</v>
      </c>
      <c r="CP90" s="755">
        <f t="shared" si="144"/>
        <v>39.007684886704432</v>
      </c>
      <c r="CQ90" s="755">
        <f t="shared" si="161"/>
        <v>6.323400322811735</v>
      </c>
      <c r="CR90" s="755">
        <f t="shared" si="145"/>
        <v>36.377447267670554</v>
      </c>
      <c r="CS90" s="755">
        <f t="shared" si="162"/>
        <v>16.535203303486615</v>
      </c>
      <c r="CT90" s="755">
        <f t="shared" si="146"/>
        <v>5.4452077441603102</v>
      </c>
      <c r="CU90" s="755">
        <f t="shared" si="147"/>
        <v>3.8902649756669589</v>
      </c>
      <c r="CX90" s="755"/>
      <c r="CY90" s="755"/>
      <c r="CZ90" s="755"/>
      <c r="DA90" s="755"/>
      <c r="DB90" s="755"/>
      <c r="DC90" s="755"/>
      <c r="DD90" s="755" t="b">
        <f t="shared" si="220"/>
        <v>0</v>
      </c>
      <c r="DE90" s="755">
        <f t="shared" si="163"/>
        <v>11.419526167902234</v>
      </c>
      <c r="DF90" s="755">
        <v>69</v>
      </c>
      <c r="DG90" s="755">
        <f t="shared" si="221"/>
        <v>15.5</v>
      </c>
      <c r="DH90" s="673">
        <f t="shared" si="164"/>
        <v>4.0804738320977672</v>
      </c>
      <c r="DI90" s="673">
        <f t="shared" si="165"/>
        <v>2</v>
      </c>
      <c r="DJ90" s="766" t="b">
        <f t="shared" si="166"/>
        <v>0</v>
      </c>
      <c r="DK90" s="673"/>
      <c r="DL90" s="766">
        <f t="shared" si="167"/>
        <v>4.0804738320977672</v>
      </c>
      <c r="DM90" s="766">
        <f t="shared" si="168"/>
        <v>8.1922318183252116E-2</v>
      </c>
      <c r="DN90" s="766">
        <f t="shared" si="169"/>
        <v>5.4792883006224737E-3</v>
      </c>
      <c r="DO90" s="766">
        <f t="shared" si="170"/>
        <v>4.8929789765307667</v>
      </c>
      <c r="DP90" s="766">
        <f t="shared" si="171"/>
        <v>2.5107126022183044</v>
      </c>
      <c r="DQ90" s="766">
        <f t="shared" si="172"/>
        <v>3.7383455062818687</v>
      </c>
      <c r="DR90" s="766">
        <f t="shared" si="173"/>
        <v>7.351042906584432</v>
      </c>
      <c r="DS90" s="766">
        <f t="shared" si="174"/>
        <v>2.2260080520846213</v>
      </c>
      <c r="DT90" s="766">
        <f t="shared" si="175"/>
        <v>3.1768156575179667</v>
      </c>
      <c r="DU90" s="766">
        <f t="shared" si="176"/>
        <v>102.40289772906515</v>
      </c>
      <c r="DV90" s="766">
        <f t="shared" si="177"/>
        <v>16.60017810432878</v>
      </c>
      <c r="DW90" s="766">
        <f t="shared" si="178"/>
        <v>13.857029746895956</v>
      </c>
      <c r="DX90" s="766">
        <f t="shared" si="179"/>
        <v>6.2986498849527068</v>
      </c>
      <c r="DY90" s="766">
        <f t="shared" si="180"/>
        <v>4.0804738320977672</v>
      </c>
      <c r="DZ90" s="766">
        <f t="shared" si="181"/>
        <v>3.3123292179782458</v>
      </c>
      <c r="EB90" s="755"/>
      <c r="EC90" s="755"/>
      <c r="ED90" s="755"/>
      <c r="EE90" s="755"/>
      <c r="EF90" s="755" t="b">
        <f t="shared" si="222"/>
        <v>0</v>
      </c>
      <c r="EG90" s="755">
        <f t="shared" si="182"/>
        <v>36.054792255839686</v>
      </c>
      <c r="EH90" s="755">
        <v>69</v>
      </c>
      <c r="EI90" s="755">
        <f t="shared" si="227"/>
        <v>41.5</v>
      </c>
      <c r="EJ90" s="673">
        <f t="shared" si="183"/>
        <v>5.4452077441603102</v>
      </c>
      <c r="EK90" s="673">
        <f t="shared" si="184"/>
        <v>2.2510196371999172</v>
      </c>
      <c r="EL90" s="755" t="b">
        <f t="shared" si="185"/>
        <v>0</v>
      </c>
      <c r="EM90" s="673"/>
      <c r="EN90" s="755">
        <f t="shared" si="186"/>
        <v>5.4452077441603102</v>
      </c>
      <c r="EO90" s="755">
        <f t="shared" si="187"/>
        <v>3.1206147909363543E-2</v>
      </c>
      <c r="EP90" s="755">
        <f t="shared" si="188"/>
        <v>2.0871904621252058E-3</v>
      </c>
      <c r="EQ90" s="755">
        <f t="shared" si="189"/>
        <v>5.3039379117216878</v>
      </c>
      <c r="ER90" s="755">
        <f t="shared" si="190"/>
        <v>2.6130232113538394</v>
      </c>
      <c r="ES90" s="755">
        <f t="shared" si="191"/>
        <v>4.758498700120593</v>
      </c>
      <c r="ET90" s="755">
        <f t="shared" si="192"/>
        <v>9.3570613140847723</v>
      </c>
      <c r="EU90" s="755">
        <f t="shared" si="193"/>
        <v>2.5305662487171685</v>
      </c>
      <c r="EV90" s="755">
        <f t="shared" si="194"/>
        <v>3.5984627086358567</v>
      </c>
      <c r="EW90" s="755">
        <f t="shared" si="195"/>
        <v>39.007684886704432</v>
      </c>
      <c r="EX90" s="755">
        <f t="shared" si="196"/>
        <v>6.323400322811735</v>
      </c>
      <c r="EY90" s="755">
        <f t="shared" si="223"/>
        <v>36.377447267670554</v>
      </c>
      <c r="EZ90" s="755">
        <f t="shared" si="197"/>
        <v>16.535203303486615</v>
      </c>
      <c r="FA90" s="755">
        <f t="shared" si="198"/>
        <v>5.4452077441603102</v>
      </c>
      <c r="FB90" s="755">
        <f t="shared" si="199"/>
        <v>3.8902649756669589</v>
      </c>
      <c r="FC90" s="755"/>
      <c r="FD90" s="755"/>
      <c r="FE90" s="755"/>
      <c r="FF90" s="755"/>
      <c r="FG90" s="755"/>
      <c r="FH90" s="755"/>
      <c r="FI90" s="755"/>
      <c r="FJ90" s="755"/>
      <c r="FK90" s="755" t="b">
        <f t="shared" si="224"/>
        <v>0</v>
      </c>
      <c r="FL90" s="755">
        <f t="shared" si="200"/>
        <v>12.187670782021755</v>
      </c>
      <c r="FM90" s="755">
        <v>69</v>
      </c>
      <c r="FN90" s="767">
        <f t="shared" si="225"/>
        <v>15.5</v>
      </c>
      <c r="FO90" s="673">
        <f t="shared" si="201"/>
        <v>3.3123292179782458</v>
      </c>
      <c r="FP90" s="673">
        <f t="shared" si="202"/>
        <v>2.2510196371999172</v>
      </c>
      <c r="FQ90" s="766" t="b">
        <f t="shared" si="203"/>
        <v>0</v>
      </c>
      <c r="FR90" s="673"/>
      <c r="FS90" s="767">
        <f t="shared" si="204"/>
        <v>3.3123292179782458</v>
      </c>
      <c r="FT90" s="766">
        <f t="shared" si="205"/>
        <v>8.1922318183252116E-2</v>
      </c>
      <c r="FU90" s="766">
        <f t="shared" si="206"/>
        <v>5.4792883006224737E-3</v>
      </c>
      <c r="FV90" s="766">
        <f t="shared" si="207"/>
        <v>4.8929789765307667</v>
      </c>
      <c r="FW90" s="766">
        <f t="shared" si="208"/>
        <v>2.5107126022183044</v>
      </c>
      <c r="FX90" s="766">
        <f t="shared" si="209"/>
        <v>4.2075445726392759</v>
      </c>
      <c r="FY90" s="766">
        <f t="shared" si="210"/>
        <v>8.2736709683103555</v>
      </c>
      <c r="FZ90" s="766">
        <f t="shared" si="211"/>
        <v>2.2260080520846213</v>
      </c>
      <c r="GA90" s="766">
        <f t="shared" si="212"/>
        <v>3.1768156575179667</v>
      </c>
      <c r="GB90" s="766">
        <f t="shared" si="213"/>
        <v>102.40289772906515</v>
      </c>
      <c r="GC90" s="766">
        <f t="shared" si="214"/>
        <v>16.60017810432878</v>
      </c>
      <c r="GD90" s="766">
        <f t="shared" si="215"/>
        <v>13.857029746895956</v>
      </c>
      <c r="GE90" s="766">
        <f t="shared" si="216"/>
        <v>6.2986498849527068</v>
      </c>
      <c r="GF90" s="766">
        <f t="shared" si="217"/>
        <v>4.7130164088691959</v>
      </c>
      <c r="GG90" s="766">
        <f t="shared" si="218"/>
        <v>3.3123292179782458</v>
      </c>
    </row>
    <row r="91" spans="1:189" ht="21.5" thickBot="1">
      <c r="B91" s="161"/>
      <c r="C91" s="174"/>
      <c r="D91" s="161"/>
      <c r="E91" s="161"/>
      <c r="F91" s="161"/>
      <c r="G91" s="161"/>
      <c r="H91" s="161"/>
      <c r="I91" s="237"/>
      <c r="J91" s="161"/>
      <c r="K91" s="177"/>
      <c r="L91" s="177"/>
      <c r="M91" s="185"/>
      <c r="N91" s="185"/>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59"/>
      <c r="AO91" s="59"/>
      <c r="AP91" s="59"/>
      <c r="AQ91" s="59"/>
      <c r="AR91" s="59"/>
      <c r="AS91" s="59"/>
      <c r="AT91" s="59"/>
      <c r="AU91" s="69"/>
      <c r="AV91" s="70"/>
      <c r="AW91" s="59"/>
      <c r="AX91" s="59"/>
      <c r="AY91" s="59"/>
      <c r="AZ91" s="59"/>
      <c r="BA91" s="59"/>
      <c r="BB91" s="59"/>
      <c r="BC91" s="59"/>
      <c r="BD91" s="59"/>
      <c r="BE91" s="59"/>
      <c r="BY91" s="753" t="b">
        <f t="shared" si="219"/>
        <v>0</v>
      </c>
      <c r="BZ91" s="753">
        <f t="shared" si="148"/>
        <v>36.536356265111891</v>
      </c>
      <c r="CA91" s="751">
        <v>70</v>
      </c>
      <c r="CB91" s="752">
        <f t="shared" si="226"/>
        <v>42</v>
      </c>
      <c r="CC91" s="673">
        <f t="shared" si="149"/>
        <v>5.4636437348881115</v>
      </c>
      <c r="CD91" s="91">
        <f t="shared" si="150"/>
        <v>2</v>
      </c>
      <c r="CE91" s="752" t="b">
        <f t="shared" si="151"/>
        <v>0</v>
      </c>
      <c r="CF91" s="673"/>
      <c r="CG91" s="752">
        <f t="shared" si="152"/>
        <v>5.4636437348881115</v>
      </c>
      <c r="CH91" s="752">
        <f t="shared" si="153"/>
        <v>3.08420326653885E-2</v>
      </c>
      <c r="CI91" s="752">
        <f t="shared" si="154"/>
        <v>2.0628369960535068E-3</v>
      </c>
      <c r="CJ91" s="755">
        <f t="shared" si="155"/>
        <v>5.3072185330563153</v>
      </c>
      <c r="CK91" s="755">
        <f t="shared" si="156"/>
        <v>2.6138036047739868</v>
      </c>
      <c r="CL91" s="755">
        <f t="shared" si="157"/>
        <v>4.7724814328582967</v>
      </c>
      <c r="CM91" s="755">
        <f t="shared" si="158"/>
        <v>9.3845568112595092</v>
      </c>
      <c r="CN91" s="755">
        <f t="shared" si="159"/>
        <v>2.5344896079565649</v>
      </c>
      <c r="CO91" s="755">
        <f t="shared" si="160"/>
        <v>3.6039005562453554</v>
      </c>
      <c r="CP91" s="755">
        <f t="shared" si="144"/>
        <v>38.552540831735627</v>
      </c>
      <c r="CQ91" s="755">
        <f t="shared" si="161"/>
        <v>6.2496185007816729</v>
      </c>
      <c r="CR91" s="755">
        <f t="shared" si="145"/>
        <v>36.806912576613101</v>
      </c>
      <c r="CS91" s="755">
        <f t="shared" si="162"/>
        <v>16.730414807551409</v>
      </c>
      <c r="CT91" s="755">
        <f t="shared" si="146"/>
        <v>5.4636437348881115</v>
      </c>
      <c r="CU91" s="755">
        <f t="shared" si="147"/>
        <v>3.8976733059356561</v>
      </c>
      <c r="CX91" s="755"/>
      <c r="CY91" s="755"/>
      <c r="CZ91" s="755"/>
      <c r="DA91" s="755"/>
      <c r="DB91" s="755"/>
      <c r="DC91" s="755"/>
      <c r="DD91" s="755" t="b">
        <f t="shared" si="220"/>
        <v>0</v>
      </c>
      <c r="DE91" s="755">
        <f t="shared" si="163"/>
        <v>10.960136001097728</v>
      </c>
      <c r="DF91" s="755">
        <v>70</v>
      </c>
      <c r="DG91" s="755">
        <f t="shared" si="221"/>
        <v>15</v>
      </c>
      <c r="DH91" s="673">
        <f t="shared" si="164"/>
        <v>4.0398639989022715</v>
      </c>
      <c r="DI91" s="673">
        <f t="shared" si="165"/>
        <v>2</v>
      </c>
      <c r="DJ91" s="766" t="b">
        <f t="shared" si="166"/>
        <v>0</v>
      </c>
      <c r="DK91" s="673"/>
      <c r="DL91" s="766">
        <f t="shared" si="167"/>
        <v>4.0398639989022715</v>
      </c>
      <c r="DM91" s="766">
        <f t="shared" si="168"/>
        <v>8.4597565143875286E-2</v>
      </c>
      <c r="DN91" s="766">
        <f t="shared" si="169"/>
        <v>5.6582193867744657E-3</v>
      </c>
      <c r="DO91" s="766">
        <f t="shared" si="170"/>
        <v>4.8735513285242043</v>
      </c>
      <c r="DP91" s="766">
        <f t="shared" si="171"/>
        <v>2.5056439951773526</v>
      </c>
      <c r="DQ91" s="766">
        <f t="shared" si="172"/>
        <v>3.7084337918609251</v>
      </c>
      <c r="DR91" s="766">
        <f t="shared" si="173"/>
        <v>7.2922248289754013</v>
      </c>
      <c r="DS91" s="766">
        <f t="shared" si="174"/>
        <v>2.2164567065880454</v>
      </c>
      <c r="DT91" s="766">
        <f t="shared" si="175"/>
        <v>3.1636086251789455</v>
      </c>
      <c r="DU91" s="766">
        <f t="shared" si="176"/>
        <v>105.7469564298441</v>
      </c>
      <c r="DV91" s="766">
        <f t="shared" si="177"/>
        <v>17.142271846354841</v>
      </c>
      <c r="DW91" s="766">
        <f t="shared" si="178"/>
        <v>13.418825920927659</v>
      </c>
      <c r="DX91" s="766">
        <f t="shared" si="179"/>
        <v>6.0994663276943903</v>
      </c>
      <c r="DY91" s="766">
        <f t="shared" si="180"/>
        <v>4.0398639989022715</v>
      </c>
      <c r="DZ91" s="766">
        <f t="shared" si="181"/>
        <v>3.294114549737936</v>
      </c>
      <c r="EB91" s="755"/>
      <c r="EC91" s="755"/>
      <c r="ED91" s="755"/>
      <c r="EE91" s="755"/>
      <c r="EF91" s="755" t="b">
        <f t="shared" si="222"/>
        <v>0</v>
      </c>
      <c r="EG91" s="755">
        <f t="shared" si="182"/>
        <v>36.536356265111891</v>
      </c>
      <c r="EH91" s="755">
        <v>70</v>
      </c>
      <c r="EI91" s="755">
        <f t="shared" si="227"/>
        <v>42</v>
      </c>
      <c r="EJ91" s="673">
        <f t="shared" si="183"/>
        <v>5.4636437348881115</v>
      </c>
      <c r="EK91" s="673">
        <f t="shared" si="184"/>
        <v>2.2510196371999172</v>
      </c>
      <c r="EL91" s="755" t="b">
        <f t="shared" si="185"/>
        <v>0</v>
      </c>
      <c r="EM91" s="673"/>
      <c r="EN91" s="755">
        <f t="shared" si="186"/>
        <v>5.4636437348881115</v>
      </c>
      <c r="EO91" s="755">
        <f t="shared" si="187"/>
        <v>3.08420326653885E-2</v>
      </c>
      <c r="EP91" s="755">
        <f t="shared" si="188"/>
        <v>2.0628369960535068E-3</v>
      </c>
      <c r="EQ91" s="755">
        <f t="shared" si="189"/>
        <v>5.3072185330563153</v>
      </c>
      <c r="ER91" s="755">
        <f t="shared" si="190"/>
        <v>2.6138036047739868</v>
      </c>
      <c r="ES91" s="755">
        <f t="shared" si="191"/>
        <v>4.7724814328582967</v>
      </c>
      <c r="ET91" s="755">
        <f t="shared" si="192"/>
        <v>9.3845568112595092</v>
      </c>
      <c r="EU91" s="755">
        <f t="shared" si="193"/>
        <v>2.5344896079565649</v>
      </c>
      <c r="EV91" s="755">
        <f t="shared" si="194"/>
        <v>3.6039005562453554</v>
      </c>
      <c r="EW91" s="755">
        <f t="shared" si="195"/>
        <v>38.552540831735627</v>
      </c>
      <c r="EX91" s="755">
        <f t="shared" si="196"/>
        <v>6.2496185007816729</v>
      </c>
      <c r="EY91" s="755">
        <f t="shared" si="223"/>
        <v>36.806912576613101</v>
      </c>
      <c r="EZ91" s="755">
        <f t="shared" si="197"/>
        <v>16.730414807551409</v>
      </c>
      <c r="FA91" s="755">
        <f t="shared" si="198"/>
        <v>5.4636437348881115</v>
      </c>
      <c r="FB91" s="755">
        <f t="shared" si="199"/>
        <v>3.8976733059356561</v>
      </c>
      <c r="FC91" s="755"/>
      <c r="FD91" s="755"/>
      <c r="FE91" s="755"/>
      <c r="FF91" s="755"/>
      <c r="FG91" s="755"/>
      <c r="FH91" s="755"/>
      <c r="FI91" s="755"/>
      <c r="FJ91" s="755"/>
      <c r="FK91" s="755" t="b">
        <f t="shared" si="224"/>
        <v>0</v>
      </c>
      <c r="FL91" s="755">
        <f t="shared" si="200"/>
        <v>11.705885450262064</v>
      </c>
      <c r="FM91" s="755">
        <v>70</v>
      </c>
      <c r="FN91" s="767">
        <f t="shared" si="225"/>
        <v>15</v>
      </c>
      <c r="FO91" s="673">
        <f t="shared" si="201"/>
        <v>3.294114549737936</v>
      </c>
      <c r="FP91" s="673">
        <f t="shared" si="202"/>
        <v>2.2510196371999172</v>
      </c>
      <c r="FQ91" s="766" t="b">
        <f t="shared" si="203"/>
        <v>0</v>
      </c>
      <c r="FR91" s="673"/>
      <c r="FS91" s="767">
        <f t="shared" si="204"/>
        <v>3.294114549737936</v>
      </c>
      <c r="FT91" s="766">
        <f t="shared" si="205"/>
        <v>8.4597565143875286E-2</v>
      </c>
      <c r="FU91" s="766">
        <f t="shared" si="206"/>
        <v>5.6582193867744657E-3</v>
      </c>
      <c r="FV91" s="766">
        <f t="shared" si="207"/>
        <v>4.8735513285242043</v>
      </c>
      <c r="FW91" s="766">
        <f t="shared" si="208"/>
        <v>2.5056439951773526</v>
      </c>
      <c r="FX91" s="766">
        <f t="shared" si="209"/>
        <v>4.1738786443673463</v>
      </c>
      <c r="FY91" s="766">
        <f t="shared" si="210"/>
        <v>8.2074706444502183</v>
      </c>
      <c r="FZ91" s="766">
        <f t="shared" si="211"/>
        <v>2.2164567065880454</v>
      </c>
      <c r="GA91" s="766">
        <f t="shared" si="212"/>
        <v>3.1636086251789455</v>
      </c>
      <c r="GB91" s="766">
        <f t="shared" si="213"/>
        <v>105.7469564298441</v>
      </c>
      <c r="GC91" s="766">
        <f t="shared" si="214"/>
        <v>17.142271846354841</v>
      </c>
      <c r="GD91" s="766">
        <f t="shared" si="215"/>
        <v>13.418825920927659</v>
      </c>
      <c r="GE91" s="766">
        <f t="shared" si="216"/>
        <v>6.0994663276943903</v>
      </c>
      <c r="GF91" s="766">
        <f t="shared" si="217"/>
        <v>4.6679082277431538</v>
      </c>
      <c r="GG91" s="766">
        <f t="shared" si="218"/>
        <v>3.294114549737936</v>
      </c>
    </row>
    <row r="92" spans="1:189" ht="21">
      <c r="C92" s="174"/>
      <c r="D92" s="161"/>
      <c r="E92" s="161"/>
      <c r="F92" s="161"/>
      <c r="G92" s="161"/>
      <c r="H92" s="161"/>
      <c r="I92" s="161"/>
      <c r="J92" s="161"/>
      <c r="K92" s="174"/>
      <c r="M92" s="161"/>
      <c r="N92" s="161"/>
      <c r="Y92" s="161"/>
      <c r="Z92" s="161"/>
      <c r="AA92" s="161"/>
      <c r="AB92" s="161"/>
      <c r="AC92" s="161"/>
      <c r="AD92" s="161"/>
      <c r="AE92" s="161"/>
      <c r="AF92" s="161"/>
      <c r="AG92" s="161"/>
      <c r="AH92" s="161"/>
      <c r="AI92" s="161"/>
      <c r="AJ92" s="161"/>
      <c r="AK92" s="161"/>
      <c r="AL92" s="161"/>
      <c r="AM92" s="161"/>
      <c r="AN92" s="32"/>
      <c r="AO92" s="32"/>
      <c r="AP92" s="32"/>
      <c r="AQ92" s="32"/>
      <c r="AR92" s="32"/>
      <c r="AS92" s="32"/>
      <c r="AT92" s="32"/>
      <c r="AU92" s="32"/>
      <c r="AV92" s="32"/>
      <c r="AW92" s="32"/>
      <c r="AX92" s="32"/>
      <c r="AY92" s="32"/>
      <c r="AZ92" s="32"/>
      <c r="BA92" s="32"/>
      <c r="BB92" s="32"/>
      <c r="BC92" s="32"/>
      <c r="BD92" s="32"/>
      <c r="BE92" s="32"/>
      <c r="BY92" s="753" t="b">
        <f t="shared" si="219"/>
        <v>0</v>
      </c>
      <c r="BZ92" s="753">
        <f t="shared" si="148"/>
        <v>37.018092333314719</v>
      </c>
      <c r="CA92" s="751">
        <v>71</v>
      </c>
      <c r="CB92" s="752">
        <f t="shared" si="226"/>
        <v>42.5</v>
      </c>
      <c r="CC92" s="673">
        <f t="shared" si="149"/>
        <v>5.4819076666852808</v>
      </c>
      <c r="CD92" s="91">
        <f t="shared" si="150"/>
        <v>2</v>
      </c>
      <c r="CE92" s="752" t="b">
        <f t="shared" si="151"/>
        <v>0</v>
      </c>
      <c r="CF92" s="673"/>
      <c r="CG92" s="752">
        <f t="shared" si="152"/>
        <v>5.4819076666852808</v>
      </c>
      <c r="CH92" s="752">
        <f t="shared" si="153"/>
        <v>3.0486400168614931E-2</v>
      </c>
      <c r="CI92" s="752">
        <f t="shared" si="154"/>
        <v>2.03905088962847E-3</v>
      </c>
      <c r="CJ92" s="755">
        <f t="shared" si="155"/>
        <v>5.3104278239623754</v>
      </c>
      <c r="CK92" s="755">
        <f t="shared" si="156"/>
        <v>2.614566492823847</v>
      </c>
      <c r="CL92" s="755">
        <f t="shared" si="157"/>
        <v>4.78633904652468</v>
      </c>
      <c r="CM92" s="755">
        <f t="shared" si="158"/>
        <v>9.4118062756210232</v>
      </c>
      <c r="CN92" s="755">
        <f t="shared" si="159"/>
        <v>2.5383719446092505</v>
      </c>
      <c r="CO92" s="755">
        <f t="shared" si="160"/>
        <v>3.609281688237731</v>
      </c>
      <c r="CP92" s="755">
        <f t="shared" si="144"/>
        <v>38.108000210768665</v>
      </c>
      <c r="CQ92" s="755">
        <f t="shared" si="161"/>
        <v>6.1775555646117919</v>
      </c>
      <c r="CR92" s="755">
        <f t="shared" si="145"/>
        <v>37.236275641643743</v>
      </c>
      <c r="CS92" s="755">
        <f t="shared" si="162"/>
        <v>16.925579837110792</v>
      </c>
      <c r="CT92" s="755">
        <f t="shared" si="146"/>
        <v>5.4819076666852808</v>
      </c>
      <c r="CU92" s="755">
        <f t="shared" si="147"/>
        <v>3.9050032446574341</v>
      </c>
      <c r="CX92" s="755"/>
      <c r="CY92" s="755"/>
      <c r="CZ92" s="755"/>
      <c r="DA92" s="755"/>
      <c r="DB92" s="755"/>
      <c r="DC92" s="755"/>
      <c r="DD92" s="755" t="b">
        <f t="shared" si="220"/>
        <v>0</v>
      </c>
      <c r="DE92" s="755">
        <f t="shared" si="163"/>
        <v>10.5018168127168</v>
      </c>
      <c r="DF92" s="755">
        <v>71</v>
      </c>
      <c r="DG92" s="755">
        <f t="shared" si="221"/>
        <v>14.5</v>
      </c>
      <c r="DH92" s="673">
        <f t="shared" si="164"/>
        <v>3.9981831872832005</v>
      </c>
      <c r="DI92" s="673">
        <f t="shared" si="165"/>
        <v>2</v>
      </c>
      <c r="DJ92" s="766" t="b">
        <f t="shared" si="166"/>
        <v>0</v>
      </c>
      <c r="DK92" s="673"/>
      <c r="DL92" s="766">
        <f t="shared" si="167"/>
        <v>3.9981831872832005</v>
      </c>
      <c r="DM92" s="766">
        <f t="shared" si="168"/>
        <v>8.7455404976697362E-2</v>
      </c>
      <c r="DN92" s="766">
        <f t="shared" si="169"/>
        <v>5.8493630056111225E-3</v>
      </c>
      <c r="DO92" s="766">
        <f t="shared" si="170"/>
        <v>4.8530177678065138</v>
      </c>
      <c r="DP92" s="766">
        <f t="shared" si="171"/>
        <v>2.5002632095348067</v>
      </c>
      <c r="DQ92" s="766">
        <f t="shared" si="172"/>
        <v>3.6777595498366664</v>
      </c>
      <c r="DR92" s="766">
        <f t="shared" si="173"/>
        <v>7.2319073251843875</v>
      </c>
      <c r="DS92" s="766">
        <f t="shared" si="174"/>
        <v>2.2066196894233276</v>
      </c>
      <c r="DT92" s="766">
        <f t="shared" si="175"/>
        <v>3.1500077018511607</v>
      </c>
      <c r="DU92" s="766">
        <f t="shared" si="176"/>
        <v>109.31925622087171</v>
      </c>
      <c r="DV92" s="766">
        <f t="shared" si="177"/>
        <v>17.721364958836983</v>
      </c>
      <c r="DW92" s="766">
        <f t="shared" si="178"/>
        <v>12.980329806973918</v>
      </c>
      <c r="DX92" s="766">
        <f t="shared" si="179"/>
        <v>5.9001499122608712</v>
      </c>
      <c r="DY92" s="766">
        <f t="shared" si="180"/>
        <v>3.9981831872832005</v>
      </c>
      <c r="DZ92" s="766">
        <f t="shared" si="181"/>
        <v>3.2753494668229228</v>
      </c>
      <c r="EB92" s="755"/>
      <c r="EC92" s="755"/>
      <c r="ED92" s="755"/>
      <c r="EE92" s="755"/>
      <c r="EF92" s="755" t="b">
        <f t="shared" si="222"/>
        <v>0</v>
      </c>
      <c r="EG92" s="755">
        <f t="shared" si="182"/>
        <v>37.018092333314719</v>
      </c>
      <c r="EH92" s="755">
        <v>71</v>
      </c>
      <c r="EI92" s="755">
        <f t="shared" si="227"/>
        <v>42.5</v>
      </c>
      <c r="EJ92" s="673">
        <f t="shared" si="183"/>
        <v>5.4819076666852808</v>
      </c>
      <c r="EK92" s="673">
        <f t="shared" si="184"/>
        <v>2.2510196371999172</v>
      </c>
      <c r="EL92" s="755" t="b">
        <f t="shared" si="185"/>
        <v>0</v>
      </c>
      <c r="EM92" s="673"/>
      <c r="EN92" s="755">
        <f t="shared" si="186"/>
        <v>5.4819076666852808</v>
      </c>
      <c r="EO92" s="755">
        <f t="shared" si="187"/>
        <v>3.0486400168614931E-2</v>
      </c>
      <c r="EP92" s="755">
        <f t="shared" si="188"/>
        <v>2.03905088962847E-3</v>
      </c>
      <c r="EQ92" s="755">
        <f t="shared" si="189"/>
        <v>5.3104278239623754</v>
      </c>
      <c r="ER92" s="755">
        <f t="shared" si="190"/>
        <v>2.614566492823847</v>
      </c>
      <c r="ES92" s="755">
        <f t="shared" si="191"/>
        <v>4.78633904652468</v>
      </c>
      <c r="ET92" s="755">
        <f t="shared" si="192"/>
        <v>9.4118062756210232</v>
      </c>
      <c r="EU92" s="755">
        <f t="shared" si="193"/>
        <v>2.5383719446092505</v>
      </c>
      <c r="EV92" s="755">
        <f t="shared" si="194"/>
        <v>3.609281688237731</v>
      </c>
      <c r="EW92" s="755">
        <f t="shared" si="195"/>
        <v>38.108000210768665</v>
      </c>
      <c r="EX92" s="755">
        <f t="shared" si="196"/>
        <v>6.1775555646117919</v>
      </c>
      <c r="EY92" s="755">
        <f t="shared" si="223"/>
        <v>37.236275641643743</v>
      </c>
      <c r="EZ92" s="755">
        <f t="shared" si="197"/>
        <v>16.925579837110792</v>
      </c>
      <c r="FA92" s="755">
        <f t="shared" si="198"/>
        <v>5.4819076666852808</v>
      </c>
      <c r="FB92" s="755">
        <f t="shared" si="199"/>
        <v>3.9050032446574341</v>
      </c>
      <c r="FC92" s="755"/>
      <c r="FD92" s="755"/>
      <c r="FE92" s="755"/>
      <c r="FF92" s="755"/>
      <c r="FG92" s="755"/>
      <c r="FH92" s="755"/>
      <c r="FI92" s="755"/>
      <c r="FJ92" s="755"/>
      <c r="FK92" s="755" t="b">
        <f t="shared" si="224"/>
        <v>0</v>
      </c>
      <c r="FL92" s="755">
        <f t="shared" si="200"/>
        <v>11.224650533177076</v>
      </c>
      <c r="FM92" s="755">
        <v>71</v>
      </c>
      <c r="FN92" s="767">
        <f t="shared" si="225"/>
        <v>14.5</v>
      </c>
      <c r="FO92" s="673">
        <f t="shared" si="201"/>
        <v>3.2753494668229228</v>
      </c>
      <c r="FP92" s="673">
        <f t="shared" si="202"/>
        <v>2.2510196371999172</v>
      </c>
      <c r="FQ92" s="766" t="b">
        <f t="shared" si="203"/>
        <v>0</v>
      </c>
      <c r="FR92" s="673"/>
      <c r="FS92" s="767">
        <f t="shared" si="204"/>
        <v>3.2753494668229228</v>
      </c>
      <c r="FT92" s="766">
        <f t="shared" si="205"/>
        <v>8.7455404976697362E-2</v>
      </c>
      <c r="FU92" s="766">
        <f t="shared" si="206"/>
        <v>5.8493630056111225E-3</v>
      </c>
      <c r="FV92" s="766">
        <f t="shared" si="207"/>
        <v>4.8530177678065138</v>
      </c>
      <c r="FW92" s="766">
        <f t="shared" si="208"/>
        <v>2.5002632095348067</v>
      </c>
      <c r="FX92" s="766">
        <f t="shared" si="209"/>
        <v>4.1393544837909317</v>
      </c>
      <c r="FY92" s="766">
        <f t="shared" si="210"/>
        <v>8.1395827016999913</v>
      </c>
      <c r="FZ92" s="766">
        <f t="shared" si="211"/>
        <v>2.2066196894233276</v>
      </c>
      <c r="GA92" s="766">
        <f t="shared" si="212"/>
        <v>3.1500077018511607</v>
      </c>
      <c r="GB92" s="766">
        <f t="shared" si="213"/>
        <v>109.31925622087171</v>
      </c>
      <c r="GC92" s="766">
        <f t="shared" si="214"/>
        <v>17.721364958836983</v>
      </c>
      <c r="GD92" s="766">
        <f t="shared" si="215"/>
        <v>12.980329806973918</v>
      </c>
      <c r="GE92" s="766">
        <f t="shared" si="216"/>
        <v>5.9001499122608712</v>
      </c>
      <c r="GF92" s="766">
        <f t="shared" si="217"/>
        <v>4.6216057451441639</v>
      </c>
      <c r="GG92" s="766">
        <f t="shared" si="218"/>
        <v>3.2753494668229228</v>
      </c>
    </row>
    <row r="93" spans="1:189">
      <c r="C93" s="59"/>
      <c r="D93" s="161"/>
      <c r="E93" s="161"/>
      <c r="F93" s="161"/>
      <c r="G93" s="161"/>
      <c r="H93" s="161"/>
      <c r="I93" s="161"/>
      <c r="J93" s="161"/>
      <c r="K93" s="161"/>
      <c r="L93" s="59"/>
      <c r="M93" s="161"/>
      <c r="N93" s="161"/>
      <c r="Y93" s="161"/>
      <c r="Z93" s="161"/>
      <c r="AA93" s="161"/>
      <c r="AB93" s="161"/>
      <c r="AC93" s="161"/>
      <c r="AD93" s="161"/>
      <c r="AE93" s="161"/>
      <c r="AF93" s="161"/>
      <c r="AG93" s="161"/>
      <c r="AH93" s="161"/>
      <c r="AI93" s="161"/>
      <c r="AJ93" s="161"/>
      <c r="AK93" s="161"/>
      <c r="AL93" s="161"/>
      <c r="AM93" s="161"/>
      <c r="BY93" s="753" t="b">
        <f t="shared" si="219"/>
        <v>0</v>
      </c>
      <c r="BZ93" s="753">
        <f t="shared" si="148"/>
        <v>37.499996877291821</v>
      </c>
      <c r="CA93" s="751">
        <v>72</v>
      </c>
      <c r="CB93" s="752">
        <f t="shared" si="226"/>
        <v>43</v>
      </c>
      <c r="CC93" s="673">
        <f t="shared" si="149"/>
        <v>5.5000031227081774</v>
      </c>
      <c r="CD93" s="91">
        <f t="shared" si="150"/>
        <v>2</v>
      </c>
      <c r="CE93" s="752" t="b">
        <f t="shared" si="151"/>
        <v>0</v>
      </c>
      <c r="CF93" s="673"/>
      <c r="CG93" s="752">
        <f t="shared" si="152"/>
        <v>5.5000031227081774</v>
      </c>
      <c r="CH93" s="752">
        <f t="shared" si="153"/>
        <v>3.0138956447537547E-2</v>
      </c>
      <c r="CI93" s="752">
        <f t="shared" si="154"/>
        <v>2.015812480874392E-3</v>
      </c>
      <c r="CJ93" s="755">
        <f t="shared" si="155"/>
        <v>5.3135680953237223</v>
      </c>
      <c r="CK93" s="755">
        <f t="shared" si="156"/>
        <v>2.6153124601173952</v>
      </c>
      <c r="CL93" s="755">
        <f t="shared" si="157"/>
        <v>4.8000741131401368</v>
      </c>
      <c r="CM93" s="755">
        <f t="shared" si="158"/>
        <v>9.4388147647629062</v>
      </c>
      <c r="CN93" s="755">
        <f t="shared" si="159"/>
        <v>2.5422141632326603</v>
      </c>
      <c r="CO93" s="755">
        <f t="shared" si="160"/>
        <v>3.6146073535470413</v>
      </c>
      <c r="CP93" s="755">
        <f t="shared" si="144"/>
        <v>37.673695559421937</v>
      </c>
      <c r="CQ93" s="755">
        <f t="shared" si="161"/>
        <v>6.1071519459273977</v>
      </c>
      <c r="CR93" s="755">
        <f t="shared" si="145"/>
        <v>37.665537689602047</v>
      </c>
      <c r="CS93" s="755">
        <f t="shared" si="162"/>
        <v>17.120698949819111</v>
      </c>
      <c r="CT93" s="755">
        <f t="shared" si="146"/>
        <v>5.5000031227081774</v>
      </c>
      <c r="CU93" s="755">
        <f t="shared" si="147"/>
        <v>3.9122565283001642</v>
      </c>
      <c r="CX93" s="755"/>
      <c r="CY93" s="755"/>
      <c r="CZ93" s="755"/>
      <c r="DA93" s="755"/>
      <c r="DB93" s="755"/>
      <c r="DC93" s="755"/>
      <c r="DD93" s="755" t="b">
        <f t="shared" si="220"/>
        <v>0</v>
      </c>
      <c r="DE93" s="755">
        <f t="shared" si="163"/>
        <v>10.044634986773762</v>
      </c>
      <c r="DF93" s="755">
        <v>72</v>
      </c>
      <c r="DG93" s="755">
        <f t="shared" si="221"/>
        <v>14</v>
      </c>
      <c r="DH93" s="673">
        <f t="shared" si="164"/>
        <v>3.9553650132262379</v>
      </c>
      <c r="DI93" s="673">
        <f t="shared" si="165"/>
        <v>2</v>
      </c>
      <c r="DJ93" s="766" t="b">
        <f t="shared" si="166"/>
        <v>0</v>
      </c>
      <c r="DK93" s="673"/>
      <c r="DL93" s="766">
        <f t="shared" si="167"/>
        <v>3.9553650132262379</v>
      </c>
      <c r="DM93" s="766">
        <f t="shared" si="168"/>
        <v>9.0515263998429921E-2</v>
      </c>
      <c r="DN93" s="766">
        <f t="shared" si="169"/>
        <v>6.0540184659440416E-3</v>
      </c>
      <c r="DO93" s="766">
        <f t="shared" si="170"/>
        <v>4.8312802761480542</v>
      </c>
      <c r="DP93" s="766">
        <f t="shared" si="171"/>
        <v>2.494540312525221</v>
      </c>
      <c r="DQ93" s="766">
        <f t="shared" si="172"/>
        <v>3.6462760096807698</v>
      </c>
      <c r="DR93" s="766">
        <f t="shared" si="173"/>
        <v>7.1699984261411425</v>
      </c>
      <c r="DS93" s="766">
        <f t="shared" si="174"/>
        <v>2.1964781383419827</v>
      </c>
      <c r="DT93" s="766">
        <f t="shared" si="175"/>
        <v>3.1359869180218745</v>
      </c>
      <c r="DU93" s="766">
        <f t="shared" si="176"/>
        <v>113.1440799980374</v>
      </c>
      <c r="DV93" s="766">
        <f t="shared" si="177"/>
        <v>18.341393857693046</v>
      </c>
      <c r="DW93" s="766">
        <f t="shared" si="178"/>
        <v>12.541531117002444</v>
      </c>
      <c r="DX93" s="766">
        <f t="shared" si="179"/>
        <v>5.700695962273838</v>
      </c>
      <c r="DY93" s="766">
        <f t="shared" si="180"/>
        <v>3.9553650132262379</v>
      </c>
      <c r="DZ93" s="766">
        <f t="shared" si="181"/>
        <v>3.2559974811318853</v>
      </c>
      <c r="EB93" s="755"/>
      <c r="EC93" s="755"/>
      <c r="ED93" s="755"/>
      <c r="EE93" s="755"/>
      <c r="EF93" s="755" t="b">
        <f t="shared" si="222"/>
        <v>0</v>
      </c>
      <c r="EG93" s="755">
        <f t="shared" si="182"/>
        <v>37.499996877291821</v>
      </c>
      <c r="EH93" s="755">
        <v>72</v>
      </c>
      <c r="EI93" s="755">
        <f t="shared" si="227"/>
        <v>43</v>
      </c>
      <c r="EJ93" s="673">
        <f t="shared" si="183"/>
        <v>5.5000031227081774</v>
      </c>
      <c r="EK93" s="673">
        <f t="shared" si="184"/>
        <v>2.2510196371999172</v>
      </c>
      <c r="EL93" s="755" t="b">
        <f t="shared" si="185"/>
        <v>0</v>
      </c>
      <c r="EM93" s="673"/>
      <c r="EN93" s="755">
        <f t="shared" si="186"/>
        <v>5.5000031227081774</v>
      </c>
      <c r="EO93" s="755">
        <f t="shared" si="187"/>
        <v>3.0138956447537547E-2</v>
      </c>
      <c r="EP93" s="755">
        <f t="shared" si="188"/>
        <v>2.015812480874392E-3</v>
      </c>
      <c r="EQ93" s="755">
        <f t="shared" si="189"/>
        <v>5.3135680953237223</v>
      </c>
      <c r="ER93" s="755">
        <f t="shared" si="190"/>
        <v>2.6153124601173952</v>
      </c>
      <c r="ES93" s="755">
        <f t="shared" si="191"/>
        <v>4.8000741131401368</v>
      </c>
      <c r="ET93" s="755">
        <f t="shared" si="192"/>
        <v>9.4388147647629062</v>
      </c>
      <c r="EU93" s="755">
        <f t="shared" si="193"/>
        <v>2.5422141632326603</v>
      </c>
      <c r="EV93" s="755">
        <f t="shared" si="194"/>
        <v>3.6146073535470413</v>
      </c>
      <c r="EW93" s="755">
        <f t="shared" si="195"/>
        <v>37.673695559421937</v>
      </c>
      <c r="EX93" s="755">
        <f t="shared" si="196"/>
        <v>6.1071519459273977</v>
      </c>
      <c r="EY93" s="755">
        <f t="shared" si="223"/>
        <v>37.665537689602047</v>
      </c>
      <c r="EZ93" s="755">
        <f t="shared" si="197"/>
        <v>17.120698949819111</v>
      </c>
      <c r="FA93" s="755">
        <f t="shared" si="198"/>
        <v>5.5000031227081774</v>
      </c>
      <c r="FB93" s="755">
        <f t="shared" si="199"/>
        <v>3.9122565283001642</v>
      </c>
      <c r="FC93" s="755"/>
      <c r="FD93" s="755"/>
      <c r="FE93" s="755"/>
      <c r="FF93" s="755"/>
      <c r="FG93" s="755"/>
      <c r="FH93" s="755"/>
      <c r="FI93" s="755"/>
      <c r="FJ93" s="755"/>
      <c r="FK93" s="755" t="b">
        <f t="shared" si="224"/>
        <v>0</v>
      </c>
      <c r="FL93" s="755">
        <f t="shared" si="200"/>
        <v>10.744002518868115</v>
      </c>
      <c r="FM93" s="755">
        <v>72</v>
      </c>
      <c r="FN93" s="767">
        <f t="shared" si="225"/>
        <v>14</v>
      </c>
      <c r="FO93" s="673">
        <f t="shared" si="201"/>
        <v>3.2559974811318853</v>
      </c>
      <c r="FP93" s="673">
        <f t="shared" si="202"/>
        <v>2.2510196371999172</v>
      </c>
      <c r="FQ93" s="766" t="b">
        <f t="shared" si="203"/>
        <v>0</v>
      </c>
      <c r="FR93" s="673"/>
      <c r="FS93" s="767">
        <f t="shared" si="204"/>
        <v>3.2559974811318853</v>
      </c>
      <c r="FT93" s="766">
        <f t="shared" si="205"/>
        <v>9.0515263998429921E-2</v>
      </c>
      <c r="FU93" s="766">
        <f t="shared" si="206"/>
        <v>6.0540184659440416E-3</v>
      </c>
      <c r="FV93" s="766">
        <f t="shared" si="207"/>
        <v>4.8312802761480542</v>
      </c>
      <c r="FW93" s="766">
        <f t="shared" si="208"/>
        <v>2.494540312525221</v>
      </c>
      <c r="FX93" s="766">
        <f t="shared" si="209"/>
        <v>4.1039194502211842</v>
      </c>
      <c r="FY93" s="766">
        <f t="shared" si="210"/>
        <v>8.069903627968106</v>
      </c>
      <c r="FZ93" s="766">
        <f t="shared" si="211"/>
        <v>2.1964781383419827</v>
      </c>
      <c r="GA93" s="766">
        <f t="shared" si="212"/>
        <v>3.1359869180218745</v>
      </c>
      <c r="GB93" s="766">
        <f t="shared" si="213"/>
        <v>113.1440799980374</v>
      </c>
      <c r="GC93" s="766">
        <f t="shared" si="214"/>
        <v>18.341393857693046</v>
      </c>
      <c r="GD93" s="766">
        <f t="shared" si="215"/>
        <v>12.541531117002444</v>
      </c>
      <c r="GE93" s="766">
        <f t="shared" si="216"/>
        <v>5.700695962273838</v>
      </c>
      <c r="GF93" s="766">
        <f t="shared" si="217"/>
        <v>4.5740348376226843</v>
      </c>
      <c r="GG93" s="766">
        <f t="shared" si="218"/>
        <v>3.2559974811318853</v>
      </c>
    </row>
    <row r="94" spans="1:189">
      <c r="Y94" s="161"/>
      <c r="Z94" s="161"/>
      <c r="AA94" s="161"/>
      <c r="AB94" s="161"/>
      <c r="AC94" s="161"/>
      <c r="AD94" s="161"/>
      <c r="AE94" s="161"/>
      <c r="AF94" s="161"/>
      <c r="AG94" s="161"/>
      <c r="AH94" s="161"/>
      <c r="AI94" s="161"/>
      <c r="AJ94" s="161"/>
      <c r="AK94" s="161"/>
      <c r="AL94" s="161"/>
      <c r="AM94" s="161"/>
      <c r="AO94" t="s">
        <v>554</v>
      </c>
      <c r="AP94" t="s">
        <v>555</v>
      </c>
      <c r="AQ94" t="s">
        <v>544</v>
      </c>
      <c r="AV94" s="59"/>
      <c r="AW94" s="59"/>
      <c r="BY94" s="753" t="b">
        <f t="shared" si="219"/>
        <v>0</v>
      </c>
      <c r="BZ94" s="753">
        <f t="shared" si="148"/>
        <v>37.98206642899693</v>
      </c>
      <c r="CA94" s="751">
        <v>73</v>
      </c>
      <c r="CB94" s="752">
        <f t="shared" si="226"/>
        <v>43.5</v>
      </c>
      <c r="CC94" s="673">
        <f t="shared" si="149"/>
        <v>5.5179335710030681</v>
      </c>
      <c r="CD94" s="91">
        <f t="shared" si="150"/>
        <v>2</v>
      </c>
      <c r="CE94" s="752" t="b">
        <f t="shared" si="151"/>
        <v>0</v>
      </c>
      <c r="CF94" s="673"/>
      <c r="CG94" s="752">
        <f t="shared" si="152"/>
        <v>5.5179335710030681</v>
      </c>
      <c r="CH94" s="752">
        <f t="shared" si="153"/>
        <v>2.9799420980563748E-2</v>
      </c>
      <c r="CI94" s="752">
        <f t="shared" si="154"/>
        <v>1.9931030073988688E-3</v>
      </c>
      <c r="CJ94" s="755">
        <f t="shared" si="155"/>
        <v>5.3166415590377873</v>
      </c>
      <c r="CK94" s="755">
        <f t="shared" si="156"/>
        <v>2.6160420654730276</v>
      </c>
      <c r="CL94" s="755">
        <f t="shared" si="157"/>
        <v>4.8136891226864238</v>
      </c>
      <c r="CM94" s="755">
        <f t="shared" si="158"/>
        <v>9.4655871749588414</v>
      </c>
      <c r="CN94" s="755">
        <f t="shared" si="159"/>
        <v>2.5460171381987799</v>
      </c>
      <c r="CO94" s="755">
        <f t="shared" si="160"/>
        <v>3.6198787594674142</v>
      </c>
      <c r="CP94" s="755">
        <f t="shared" si="144"/>
        <v>37.249276225704683</v>
      </c>
      <c r="CQ94" s="755">
        <f t="shared" si="161"/>
        <v>6.0383508017520873</v>
      </c>
      <c r="CR94" s="755">
        <f t="shared" si="145"/>
        <v>38.094699918512447</v>
      </c>
      <c r="CS94" s="755">
        <f t="shared" si="162"/>
        <v>17.315772690232929</v>
      </c>
      <c r="CT94" s="755">
        <f t="shared" si="146"/>
        <v>5.5179335710030681</v>
      </c>
      <c r="CU94" s="755">
        <f t="shared" si="147"/>
        <v>3.9194348352282118</v>
      </c>
      <c r="CX94" s="755"/>
      <c r="CY94" s="755"/>
      <c r="CZ94" s="755"/>
      <c r="DA94" s="755"/>
      <c r="DB94" s="755"/>
      <c r="DC94" s="755"/>
      <c r="DD94" s="755" t="b">
        <f t="shared" si="220"/>
        <v>0</v>
      </c>
      <c r="DE94" s="755">
        <f t="shared" si="163"/>
        <v>9.5886635705606142</v>
      </c>
      <c r="DF94" s="755">
        <v>73</v>
      </c>
      <c r="DG94" s="755">
        <f t="shared" si="221"/>
        <v>13.5</v>
      </c>
      <c r="DH94" s="673">
        <f t="shared" si="164"/>
        <v>3.9113364294393853</v>
      </c>
      <c r="DI94" s="673">
        <f t="shared" si="165"/>
        <v>2</v>
      </c>
      <c r="DJ94" s="766" t="b">
        <f t="shared" si="166"/>
        <v>0</v>
      </c>
      <c r="DK94" s="673"/>
      <c r="DL94" s="766">
        <f t="shared" si="167"/>
        <v>3.9113364294393853</v>
      </c>
      <c r="DM94" s="766">
        <f t="shared" si="168"/>
        <v>9.3799431078952528E-2</v>
      </c>
      <c r="DN94" s="766">
        <f t="shared" si="169"/>
        <v>6.2736765354501336E-3</v>
      </c>
      <c r="DO94" s="766">
        <f t="shared" si="170"/>
        <v>4.8082288182858477</v>
      </c>
      <c r="DP94" s="766">
        <f t="shared" si="171"/>
        <v>2.488441402195217</v>
      </c>
      <c r="DQ94" s="766">
        <f t="shared" si="172"/>
        <v>3.6139317338149963</v>
      </c>
      <c r="DR94" s="766">
        <f t="shared" si="173"/>
        <v>7.1063969855380291</v>
      </c>
      <c r="DS94" s="766">
        <f t="shared" si="174"/>
        <v>2.186011215142269</v>
      </c>
      <c r="DT94" s="766">
        <f t="shared" si="175"/>
        <v>3.121517586378197</v>
      </c>
      <c r="DU94" s="766">
        <f t="shared" si="176"/>
        <v>117.24928884869065</v>
      </c>
      <c r="DV94" s="766">
        <f t="shared" si="177"/>
        <v>19.006875007031347</v>
      </c>
      <c r="DW94" s="766">
        <f t="shared" si="178"/>
        <v>12.102418820051088</v>
      </c>
      <c r="DX94" s="766">
        <f t="shared" si="179"/>
        <v>5.5010994636595854</v>
      </c>
      <c r="DY94" s="766">
        <f t="shared" si="180"/>
        <v>3.9113364294393853</v>
      </c>
      <c r="DZ94" s="766">
        <f t="shared" si="181"/>
        <v>3.2360182729029772</v>
      </c>
      <c r="EB94" s="755"/>
      <c r="EC94" s="755"/>
      <c r="ED94" s="755"/>
      <c r="EE94" s="755"/>
      <c r="EF94" s="755" t="b">
        <f t="shared" si="222"/>
        <v>0</v>
      </c>
      <c r="EG94" s="755">
        <f t="shared" si="182"/>
        <v>37.98206642899693</v>
      </c>
      <c r="EH94" s="755">
        <v>73</v>
      </c>
      <c r="EI94" s="755">
        <f t="shared" si="227"/>
        <v>43.5</v>
      </c>
      <c r="EJ94" s="673">
        <f t="shared" si="183"/>
        <v>5.5179335710030681</v>
      </c>
      <c r="EK94" s="673">
        <f t="shared" si="184"/>
        <v>2.2510196371999172</v>
      </c>
      <c r="EL94" s="755" t="b">
        <f t="shared" si="185"/>
        <v>0</v>
      </c>
      <c r="EM94" s="673"/>
      <c r="EN94" s="755">
        <f t="shared" si="186"/>
        <v>5.5179335710030681</v>
      </c>
      <c r="EO94" s="755">
        <f t="shared" si="187"/>
        <v>2.9799420980563748E-2</v>
      </c>
      <c r="EP94" s="755">
        <f t="shared" si="188"/>
        <v>1.9931030073988688E-3</v>
      </c>
      <c r="EQ94" s="755">
        <f t="shared" si="189"/>
        <v>5.3166415590377873</v>
      </c>
      <c r="ER94" s="755">
        <f t="shared" si="190"/>
        <v>2.6160420654730276</v>
      </c>
      <c r="ES94" s="755">
        <f t="shared" si="191"/>
        <v>4.8136891226864238</v>
      </c>
      <c r="ET94" s="755">
        <f t="shared" si="192"/>
        <v>9.4655871749588414</v>
      </c>
      <c r="EU94" s="755">
        <f t="shared" si="193"/>
        <v>2.5460171381987799</v>
      </c>
      <c r="EV94" s="755">
        <f t="shared" si="194"/>
        <v>3.6198787594674142</v>
      </c>
      <c r="EW94" s="755">
        <f t="shared" si="195"/>
        <v>37.249276225704683</v>
      </c>
      <c r="EX94" s="755">
        <f t="shared" si="196"/>
        <v>6.0383508017520873</v>
      </c>
      <c r="EY94" s="755">
        <f t="shared" si="223"/>
        <v>38.094699918512447</v>
      </c>
      <c r="EZ94" s="755">
        <f t="shared" si="197"/>
        <v>17.315772690232929</v>
      </c>
      <c r="FA94" s="755">
        <f t="shared" si="198"/>
        <v>5.5179335710030681</v>
      </c>
      <c r="FB94" s="755">
        <f t="shared" si="199"/>
        <v>3.9194348352282118</v>
      </c>
      <c r="FC94" s="755"/>
      <c r="FD94" s="755"/>
      <c r="FE94" s="755"/>
      <c r="FF94" s="755"/>
      <c r="FG94" s="755"/>
      <c r="FH94" s="755"/>
      <c r="FI94" s="755"/>
      <c r="FJ94" s="755"/>
      <c r="FK94" s="755" t="b">
        <f t="shared" si="224"/>
        <v>0</v>
      </c>
      <c r="FL94" s="755">
        <f t="shared" si="200"/>
        <v>10.263981727097022</v>
      </c>
      <c r="FM94" s="755">
        <v>73</v>
      </c>
      <c r="FN94" s="767">
        <f t="shared" si="225"/>
        <v>13.5</v>
      </c>
      <c r="FO94" s="673">
        <f t="shared" si="201"/>
        <v>3.2360182729029772</v>
      </c>
      <c r="FP94" s="673">
        <f t="shared" si="202"/>
        <v>2.2510196371999172</v>
      </c>
      <c r="FQ94" s="766" t="b">
        <f t="shared" si="203"/>
        <v>0</v>
      </c>
      <c r="FR94" s="673"/>
      <c r="FS94" s="767">
        <f t="shared" si="204"/>
        <v>3.2360182729029772</v>
      </c>
      <c r="FT94" s="766">
        <f t="shared" si="205"/>
        <v>9.3799431078952528E-2</v>
      </c>
      <c r="FU94" s="766">
        <f t="shared" si="206"/>
        <v>6.2736765354501336E-3</v>
      </c>
      <c r="FV94" s="766">
        <f t="shared" si="207"/>
        <v>4.8082288182858477</v>
      </c>
      <c r="FW94" s="766">
        <f t="shared" si="208"/>
        <v>2.488441402195217</v>
      </c>
      <c r="FX94" s="766">
        <f t="shared" si="209"/>
        <v>4.0675156501587502</v>
      </c>
      <c r="FY94" s="766">
        <f t="shared" si="210"/>
        <v>7.9983195820921997</v>
      </c>
      <c r="FZ94" s="766">
        <f t="shared" si="211"/>
        <v>2.186011215142269</v>
      </c>
      <c r="GA94" s="766">
        <f t="shared" si="212"/>
        <v>3.121517586378197</v>
      </c>
      <c r="GB94" s="766">
        <f t="shared" si="213"/>
        <v>117.24928884869065</v>
      </c>
      <c r="GC94" s="766">
        <f t="shared" si="214"/>
        <v>19.006875007031347</v>
      </c>
      <c r="GD94" s="766">
        <f t="shared" si="215"/>
        <v>12.102418820051088</v>
      </c>
      <c r="GE94" s="766">
        <f t="shared" si="216"/>
        <v>5.5010994636595854</v>
      </c>
      <c r="GF94" s="766">
        <f t="shared" si="217"/>
        <v>4.5251139362049297</v>
      </c>
      <c r="GG94" s="766">
        <f t="shared" si="218"/>
        <v>3.2360182729029772</v>
      </c>
    </row>
    <row r="95" spans="1:189">
      <c r="O95" s="160"/>
      <c r="P95" s="160"/>
      <c r="Q95" s="160"/>
      <c r="R95" s="160"/>
      <c r="S95" s="160"/>
      <c r="T95" s="160"/>
      <c r="U95" s="160"/>
      <c r="V95" s="160"/>
      <c r="W95" s="160"/>
      <c r="X95" s="160"/>
      <c r="Y95" s="161"/>
      <c r="Z95" s="161"/>
      <c r="AA95" s="161"/>
      <c r="AB95" s="161"/>
      <c r="AC95" s="161"/>
      <c r="AD95" s="161"/>
      <c r="AE95" s="161"/>
      <c r="AF95" s="161"/>
      <c r="AG95" s="161"/>
      <c r="AH95" s="161"/>
      <c r="AI95" s="161"/>
      <c r="AJ95" s="161"/>
      <c r="AK95" s="161"/>
      <c r="AL95" s="161"/>
      <c r="AM95" s="161"/>
      <c r="AO95">
        <f>VLOOKUP(C13,'Reference Lists&amp;Tables'!H47:J192,3,FALSE)</f>
        <v>3.2</v>
      </c>
      <c r="AP95" s="59">
        <f>VLOOKUP(C13,'Reference Lists&amp;Tables'!H47:J192,2,FALSE)</f>
        <v>7</v>
      </c>
      <c r="AQ95" s="59">
        <f>(100-AO95*(BC78-AP95))</f>
        <v>108.6470551627731</v>
      </c>
      <c r="AR95">
        <f>IF(OR(ISNUMBER(AO95),ISNUMBER(AP95)),IF(ISNUMBER(AO95),AQ95,AP95),"Heading")</f>
        <v>108.6470551627731</v>
      </c>
      <c r="AS95" t="b">
        <f>IF(AND(ISNUMBER(AP95),ISTEXT(AO95)),TRUE,FALSE)</f>
        <v>0</v>
      </c>
      <c r="AT95" s="59">
        <f>(100-AO95*(BD78-AP95))</f>
        <v>118.9333023962071</v>
      </c>
      <c r="AU95" s="59">
        <f>(100-AO95*(BE78-AP95))</f>
        <v>98.186357012654042</v>
      </c>
      <c r="AV95" s="59">
        <f>IF(OR(ISNUMBER(AO95),ISNUMBER(AP95)),IF(ISNUMBER(AO95),AT95,AR95),"Heading")</f>
        <v>118.9333023962071</v>
      </c>
      <c r="AW95" s="59">
        <f>IF(OR(ISNUMBER(AO95),ISNUMBER(AP95)),IF(ISNUMBER(AO95),AU95,AR95),"Heading")</f>
        <v>98.186357012654042</v>
      </c>
      <c r="BY95" s="753" t="b">
        <f t="shared" si="219"/>
        <v>0</v>
      </c>
      <c r="BZ95" s="753">
        <f t="shared" si="148"/>
        <v>38.464297630523092</v>
      </c>
      <c r="CA95" s="751">
        <v>74</v>
      </c>
      <c r="CB95" s="752">
        <f t="shared" si="226"/>
        <v>44</v>
      </c>
      <c r="CC95" s="673">
        <f t="shared" si="149"/>
        <v>5.5357023694769047</v>
      </c>
      <c r="CD95" s="91">
        <f t="shared" si="150"/>
        <v>2</v>
      </c>
      <c r="CE95" s="752" t="b">
        <f t="shared" si="151"/>
        <v>0</v>
      </c>
      <c r="CF95" s="673"/>
      <c r="CG95" s="752">
        <f t="shared" si="152"/>
        <v>5.5357023694769047</v>
      </c>
      <c r="CH95" s="752">
        <f t="shared" si="153"/>
        <v>2.9467525934783322E-2</v>
      </c>
      <c r="CI95" s="752">
        <f t="shared" si="154"/>
        <v>1.9709045554787055E-3</v>
      </c>
      <c r="CJ95" s="755">
        <f t="shared" si="155"/>
        <v>5.3196503332680249</v>
      </c>
      <c r="CK95" s="755">
        <f t="shared" si="156"/>
        <v>2.6167558433225695</v>
      </c>
      <c r="CL95" s="755">
        <f t="shared" si="157"/>
        <v>4.8271864866324607</v>
      </c>
      <c r="CM95" s="755">
        <f t="shared" si="158"/>
        <v>9.4921282480957068</v>
      </c>
      <c r="CN95" s="755">
        <f t="shared" si="159"/>
        <v>2.5497817150352775</v>
      </c>
      <c r="CO95" s="755">
        <f t="shared" si="160"/>
        <v>3.6250970735018533</v>
      </c>
      <c r="CP95" s="755">
        <f t="shared" si="144"/>
        <v>36.834407418479152</v>
      </c>
      <c r="CQ95" s="755">
        <f t="shared" si="161"/>
        <v>5.9710978602572533</v>
      </c>
      <c r="CR95" s="755">
        <f t="shared" si="145"/>
        <v>38.523763498584572</v>
      </c>
      <c r="CS95" s="755">
        <f t="shared" si="162"/>
        <v>17.510801590265714</v>
      </c>
      <c r="CT95" s="755">
        <f t="shared" si="146"/>
        <v>5.5357023694769047</v>
      </c>
      <c r="CU95" s="755">
        <f t="shared" si="147"/>
        <v>3.9265397882888351</v>
      </c>
      <c r="CX95" s="755"/>
      <c r="CY95" s="755"/>
      <c r="CZ95" s="755"/>
      <c r="DA95" s="755"/>
      <c r="DB95" s="755"/>
      <c r="DC95" s="755"/>
      <c r="DD95" s="755" t="b">
        <f t="shared" si="220"/>
        <v>0</v>
      </c>
      <c r="DE95" s="755">
        <f t="shared" si="163"/>
        <v>9.1339832188574128</v>
      </c>
      <c r="DF95" s="755">
        <v>74</v>
      </c>
      <c r="DG95" s="755">
        <f t="shared" si="221"/>
        <v>13</v>
      </c>
      <c r="DH95" s="673">
        <f t="shared" si="164"/>
        <v>3.8660167811425863</v>
      </c>
      <c r="DI95" s="673">
        <f t="shared" si="165"/>
        <v>2</v>
      </c>
      <c r="DJ95" s="766" t="b">
        <f t="shared" si="166"/>
        <v>0</v>
      </c>
      <c r="DK95" s="673"/>
      <c r="DL95" s="766">
        <f t="shared" si="167"/>
        <v>3.8660167811425863</v>
      </c>
      <c r="DM95" s="766">
        <f t="shared" si="168"/>
        <v>9.7333605726930034E-2</v>
      </c>
      <c r="DN95" s="766">
        <f t="shared" si="169"/>
        <v>6.5100560988030978E-3</v>
      </c>
      <c r="DO95" s="766">
        <f t="shared" si="170"/>
        <v>4.7837394299531404</v>
      </c>
      <c r="DP95" s="766">
        <f t="shared" si="171"/>
        <v>2.4819279246200976</v>
      </c>
      <c r="DQ95" s="766">
        <f t="shared" si="172"/>
        <v>3.5806699589127566</v>
      </c>
      <c r="DR95" s="766">
        <f t="shared" si="173"/>
        <v>7.0409913845724015</v>
      </c>
      <c r="DS95" s="766">
        <f t="shared" si="174"/>
        <v>2.1751958163736362</v>
      </c>
      <c r="DT95" s="766">
        <f t="shared" si="175"/>
        <v>3.1065679041944865</v>
      </c>
      <c r="DU95" s="766">
        <f t="shared" si="176"/>
        <v>121.66700715866254</v>
      </c>
      <c r="DV95" s="766">
        <f t="shared" si="177"/>
        <v>19.723015979470574</v>
      </c>
      <c r="DW95" s="766">
        <f t="shared" si="178"/>
        <v>11.662981059027134</v>
      </c>
      <c r="DX95" s="766">
        <f t="shared" si="179"/>
        <v>5.3013550268305147</v>
      </c>
      <c r="DY95" s="766">
        <f t="shared" si="180"/>
        <v>3.8660167811425863</v>
      </c>
      <c r="DZ95" s="766">
        <f t="shared" si="181"/>
        <v>3.2153671287539307</v>
      </c>
      <c r="EB95" s="755"/>
      <c r="EC95" s="755"/>
      <c r="ED95" s="755"/>
      <c r="EE95" s="755"/>
      <c r="EF95" s="755" t="b">
        <f t="shared" si="222"/>
        <v>0</v>
      </c>
      <c r="EG95" s="755">
        <f t="shared" si="182"/>
        <v>38.464297630523092</v>
      </c>
      <c r="EH95" s="755">
        <v>74</v>
      </c>
      <c r="EI95" s="755">
        <f t="shared" si="227"/>
        <v>44</v>
      </c>
      <c r="EJ95" s="673">
        <f t="shared" si="183"/>
        <v>5.5357023694769047</v>
      </c>
      <c r="EK95" s="673">
        <f t="shared" si="184"/>
        <v>2.2510196371999172</v>
      </c>
      <c r="EL95" s="755" t="b">
        <f t="shared" si="185"/>
        <v>0</v>
      </c>
      <c r="EM95" s="673"/>
      <c r="EN95" s="755">
        <f t="shared" si="186"/>
        <v>5.5357023694769047</v>
      </c>
      <c r="EO95" s="755">
        <f t="shared" si="187"/>
        <v>2.9467525934783322E-2</v>
      </c>
      <c r="EP95" s="755">
        <f t="shared" si="188"/>
        <v>1.9709045554787055E-3</v>
      </c>
      <c r="EQ95" s="755">
        <f t="shared" si="189"/>
        <v>5.3196503332680249</v>
      </c>
      <c r="ER95" s="755">
        <f t="shared" si="190"/>
        <v>2.6167558433225695</v>
      </c>
      <c r="ES95" s="755">
        <f t="shared" si="191"/>
        <v>4.8271864866324607</v>
      </c>
      <c r="ET95" s="755">
        <f t="shared" si="192"/>
        <v>9.4921282480957068</v>
      </c>
      <c r="EU95" s="755">
        <f t="shared" si="193"/>
        <v>2.5497817150352775</v>
      </c>
      <c r="EV95" s="755">
        <f t="shared" si="194"/>
        <v>3.6250970735018533</v>
      </c>
      <c r="EW95" s="755">
        <f t="shared" si="195"/>
        <v>36.834407418479152</v>
      </c>
      <c r="EX95" s="755">
        <f t="shared" si="196"/>
        <v>5.9710978602572533</v>
      </c>
      <c r="EY95" s="755">
        <f t="shared" si="223"/>
        <v>38.523763498584572</v>
      </c>
      <c r="EZ95" s="755">
        <f t="shared" si="197"/>
        <v>17.510801590265714</v>
      </c>
      <c r="FA95" s="755">
        <f t="shared" si="198"/>
        <v>5.5357023694769047</v>
      </c>
      <c r="FB95" s="755">
        <f t="shared" si="199"/>
        <v>3.9265397882888351</v>
      </c>
      <c r="FC95" s="755"/>
      <c r="FD95" s="755"/>
      <c r="FE95" s="755"/>
      <c r="FF95" s="755"/>
      <c r="FG95" s="755"/>
      <c r="FH95" s="755"/>
      <c r="FI95" s="755"/>
      <c r="FJ95" s="755"/>
      <c r="FK95" s="755" t="b">
        <f t="shared" si="224"/>
        <v>0</v>
      </c>
      <c r="FL95" s="755">
        <f t="shared" si="200"/>
        <v>9.7846328712460693</v>
      </c>
      <c r="FM95" s="755">
        <v>74</v>
      </c>
      <c r="FN95" s="767">
        <f t="shared" si="225"/>
        <v>13</v>
      </c>
      <c r="FO95" s="673">
        <f t="shared" si="201"/>
        <v>3.2153671287539307</v>
      </c>
      <c r="FP95" s="673">
        <f t="shared" si="202"/>
        <v>2.2510196371999172</v>
      </c>
      <c r="FQ95" s="766" t="b">
        <f t="shared" si="203"/>
        <v>0</v>
      </c>
      <c r="FR95" s="673"/>
      <c r="FS95" s="767">
        <f t="shared" si="204"/>
        <v>3.2153671287539307</v>
      </c>
      <c r="FT95" s="766">
        <f t="shared" si="205"/>
        <v>9.7333605726930034E-2</v>
      </c>
      <c r="FU95" s="766">
        <f t="shared" si="206"/>
        <v>6.5100560988030978E-3</v>
      </c>
      <c r="FV95" s="766">
        <f t="shared" si="207"/>
        <v>4.7837394299531404</v>
      </c>
      <c r="FW95" s="766">
        <f t="shared" si="208"/>
        <v>2.4819279246200976</v>
      </c>
      <c r="FX95" s="766">
        <f t="shared" si="209"/>
        <v>4.0300791959222177</v>
      </c>
      <c r="FY95" s="766">
        <f t="shared" si="210"/>
        <v>7.9247049360139545</v>
      </c>
      <c r="FZ95" s="766">
        <f t="shared" si="211"/>
        <v>2.1751958163736362</v>
      </c>
      <c r="GA95" s="766">
        <f t="shared" si="212"/>
        <v>3.1065679041944865</v>
      </c>
      <c r="GB95" s="766">
        <f t="shared" si="213"/>
        <v>121.66700715866254</v>
      </c>
      <c r="GC95" s="766">
        <f t="shared" si="214"/>
        <v>19.723015979470574</v>
      </c>
      <c r="GD95" s="766">
        <f t="shared" si="215"/>
        <v>11.662981059027134</v>
      </c>
      <c r="GE95" s="766">
        <f t="shared" si="216"/>
        <v>5.3013550268305147</v>
      </c>
      <c r="GF95" s="766">
        <f t="shared" si="217"/>
        <v>4.474752970812701</v>
      </c>
      <c r="GG95" s="766">
        <f t="shared" si="218"/>
        <v>3.2153671287539307</v>
      </c>
    </row>
    <row r="96" spans="1:189">
      <c r="O96" s="160"/>
      <c r="P96" s="160"/>
      <c r="Q96" s="160"/>
      <c r="R96" s="160"/>
      <c r="S96" s="160"/>
      <c r="T96" s="160"/>
      <c r="U96" s="160"/>
      <c r="V96" s="160"/>
      <c r="W96" s="160"/>
      <c r="X96" s="160"/>
      <c r="AH96" s="161"/>
      <c r="AI96" s="161"/>
      <c r="BY96" s="753" t="b">
        <f t="shared" si="219"/>
        <v>0</v>
      </c>
      <c r="BZ96" s="753">
        <f t="shared" si="148"/>
        <v>38.94668722940029</v>
      </c>
      <c r="CA96" s="751">
        <v>75</v>
      </c>
      <c r="CB96" s="752">
        <f t="shared" si="226"/>
        <v>44.5</v>
      </c>
      <c r="CC96" s="673">
        <f t="shared" si="149"/>
        <v>5.553312770599713</v>
      </c>
      <c r="CD96" s="91">
        <f t="shared" si="150"/>
        <v>2</v>
      </c>
      <c r="CE96" s="752" t="b">
        <f t="shared" si="151"/>
        <v>0</v>
      </c>
      <c r="CF96" s="673"/>
      <c r="CG96" s="752">
        <f t="shared" si="152"/>
        <v>5.553312770599713</v>
      </c>
      <c r="CH96" s="752">
        <f t="shared" si="153"/>
        <v>2.9143015455891794E-2</v>
      </c>
      <c r="CI96" s="752">
        <f t="shared" si="154"/>
        <v>1.9492000125671837E-3</v>
      </c>
      <c r="CJ96" s="755">
        <f t="shared" si="155"/>
        <v>5.3225964473650205</v>
      </c>
      <c r="CK96" s="755">
        <f t="shared" si="156"/>
        <v>2.6174543050288364</v>
      </c>
      <c r="CL96" s="755">
        <f t="shared" si="157"/>
        <v>4.8405685412704136</v>
      </c>
      <c r="CM96" s="755">
        <f t="shared" si="158"/>
        <v>9.5184425782336124</v>
      </c>
      <c r="CN96" s="755">
        <f t="shared" si="159"/>
        <v>2.5535087116925599</v>
      </c>
      <c r="CO96" s="755">
        <f t="shared" si="160"/>
        <v>3.6302634251089598</v>
      </c>
      <c r="CP96" s="755">
        <f t="shared" si="144"/>
        <v>36.428769319864742</v>
      </c>
      <c r="CQ96" s="755">
        <f t="shared" si="161"/>
        <v>5.9053412768770031</v>
      </c>
      <c r="CR96" s="755">
        <f t="shared" si="145"/>
        <v>38.952729573167709</v>
      </c>
      <c r="CS96" s="755">
        <f t="shared" si="162"/>
        <v>17.705786169621685</v>
      </c>
      <c r="CT96" s="755">
        <f t="shared" si="146"/>
        <v>5.553312770599713</v>
      </c>
      <c r="CU96" s="755">
        <f t="shared" si="147"/>
        <v>3.9335729572554814</v>
      </c>
      <c r="CX96" s="755"/>
      <c r="CY96" s="755"/>
      <c r="CZ96" s="755"/>
      <c r="DA96" s="755"/>
      <c r="DB96" s="755"/>
      <c r="DC96" s="755"/>
      <c r="DD96" s="755" t="b">
        <f t="shared" si="220"/>
        <v>0</v>
      </c>
      <c r="DE96" s="755">
        <f t="shared" si="163"/>
        <v>8.6806833140418416</v>
      </c>
      <c r="DF96" s="755">
        <v>75</v>
      </c>
      <c r="DG96" s="755">
        <f t="shared" si="221"/>
        <v>12.5</v>
      </c>
      <c r="DH96" s="673">
        <f t="shared" si="164"/>
        <v>3.8193166859581589</v>
      </c>
      <c r="DI96" s="673">
        <f t="shared" si="165"/>
        <v>2</v>
      </c>
      <c r="DJ96" s="766" t="b">
        <f t="shared" si="166"/>
        <v>0</v>
      </c>
      <c r="DK96" s="673"/>
      <c r="DL96" s="766">
        <f t="shared" si="167"/>
        <v>3.8193166859581589</v>
      </c>
      <c r="DM96" s="766">
        <f t="shared" si="168"/>
        <v>0.10114757722727523</v>
      </c>
      <c r="DN96" s="766">
        <f t="shared" si="169"/>
        <v>6.7651495810700738E-3</v>
      </c>
      <c r="DO96" s="766">
        <f t="shared" si="170"/>
        <v>4.7576719264347105</v>
      </c>
      <c r="DP96" s="766">
        <f t="shared" si="171"/>
        <v>2.4749558446962547</v>
      </c>
      <c r="DQ96" s="766">
        <f t="shared" si="172"/>
        <v>3.5464278148578785</v>
      </c>
      <c r="DR96" s="766">
        <f t="shared" si="173"/>
        <v>6.9736579961154286</v>
      </c>
      <c r="DS96" s="766">
        <f t="shared" si="174"/>
        <v>2.1640062286902948</v>
      </c>
      <c r="DT96" s="766">
        <f t="shared" si="175"/>
        <v>3.0911024796896727</v>
      </c>
      <c r="DU96" s="766">
        <f t="shared" si="176"/>
        <v>126.43447153409403</v>
      </c>
      <c r="DV96" s="766">
        <f t="shared" si="177"/>
        <v>20.49585307190905</v>
      </c>
      <c r="DW96" s="766">
        <f t="shared" si="178"/>
        <v>11.223205054622747</v>
      </c>
      <c r="DX96" s="766">
        <f t="shared" si="179"/>
        <v>5.1014568430103395</v>
      </c>
      <c r="DY96" s="766">
        <f t="shared" si="180"/>
        <v>3.8193166859581589</v>
      </c>
      <c r="DZ96" s="766">
        <f t="shared" si="181"/>
        <v>3.1939942720567607</v>
      </c>
      <c r="EB96" s="755"/>
      <c r="EC96" s="755"/>
      <c r="ED96" s="755"/>
      <c r="EE96" s="755"/>
      <c r="EF96" s="755" t="b">
        <f t="shared" si="222"/>
        <v>0</v>
      </c>
      <c r="EG96" s="755">
        <f t="shared" si="182"/>
        <v>38.94668722940029</v>
      </c>
      <c r="EH96" s="755">
        <v>75</v>
      </c>
      <c r="EI96" s="755">
        <f t="shared" si="227"/>
        <v>44.5</v>
      </c>
      <c r="EJ96" s="673">
        <f t="shared" si="183"/>
        <v>5.553312770599713</v>
      </c>
      <c r="EK96" s="673">
        <f t="shared" si="184"/>
        <v>2.2510196371999172</v>
      </c>
      <c r="EL96" s="755" t="b">
        <f t="shared" si="185"/>
        <v>0</v>
      </c>
      <c r="EM96" s="673"/>
      <c r="EN96" s="755">
        <f t="shared" si="186"/>
        <v>5.553312770599713</v>
      </c>
      <c r="EO96" s="755">
        <f t="shared" si="187"/>
        <v>2.9143015455891794E-2</v>
      </c>
      <c r="EP96" s="755">
        <f t="shared" si="188"/>
        <v>1.9492000125671837E-3</v>
      </c>
      <c r="EQ96" s="755">
        <f t="shared" si="189"/>
        <v>5.3225964473650205</v>
      </c>
      <c r="ER96" s="755">
        <f t="shared" si="190"/>
        <v>2.6174543050288364</v>
      </c>
      <c r="ES96" s="755">
        <f t="shared" si="191"/>
        <v>4.8405685412704136</v>
      </c>
      <c r="ET96" s="755">
        <f t="shared" si="192"/>
        <v>9.5184425782336124</v>
      </c>
      <c r="EU96" s="755">
        <f t="shared" si="193"/>
        <v>2.5535087116925599</v>
      </c>
      <c r="EV96" s="755">
        <f t="shared" si="194"/>
        <v>3.6302634251089598</v>
      </c>
      <c r="EW96" s="755">
        <f t="shared" si="195"/>
        <v>36.428769319864742</v>
      </c>
      <c r="EX96" s="755">
        <f t="shared" si="196"/>
        <v>5.9053412768770031</v>
      </c>
      <c r="EY96" s="755">
        <f t="shared" si="223"/>
        <v>38.952729573167709</v>
      </c>
      <c r="EZ96" s="755">
        <f t="shared" si="197"/>
        <v>17.705786169621685</v>
      </c>
      <c r="FA96" s="755">
        <f t="shared" si="198"/>
        <v>5.553312770599713</v>
      </c>
      <c r="FB96" s="755">
        <f t="shared" si="199"/>
        <v>3.9335729572554814</v>
      </c>
      <c r="FC96" s="755"/>
      <c r="FD96" s="755"/>
      <c r="FE96" s="755"/>
      <c r="FF96" s="755"/>
      <c r="FG96" s="755"/>
      <c r="FH96" s="755"/>
      <c r="FI96" s="755"/>
      <c r="FJ96" s="755"/>
      <c r="FK96" s="755" t="b">
        <f t="shared" si="224"/>
        <v>0</v>
      </c>
      <c r="FL96" s="755">
        <f t="shared" si="200"/>
        <v>9.3060057279432389</v>
      </c>
      <c r="FM96" s="755">
        <v>75</v>
      </c>
      <c r="FN96" s="767">
        <f t="shared" si="225"/>
        <v>12.5</v>
      </c>
      <c r="FO96" s="673">
        <f t="shared" si="201"/>
        <v>3.1939942720567607</v>
      </c>
      <c r="FP96" s="673">
        <f t="shared" si="202"/>
        <v>2.2510196371999172</v>
      </c>
      <c r="FQ96" s="766" t="b">
        <f t="shared" si="203"/>
        <v>0</v>
      </c>
      <c r="FR96" s="673"/>
      <c r="FS96" s="767">
        <f t="shared" si="204"/>
        <v>3.1939942720567607</v>
      </c>
      <c r="FT96" s="766">
        <f t="shared" si="205"/>
        <v>0.10114757722727523</v>
      </c>
      <c r="FU96" s="766">
        <f t="shared" si="206"/>
        <v>6.7651495810700738E-3</v>
      </c>
      <c r="FV96" s="766">
        <f t="shared" si="207"/>
        <v>4.7576719264347105</v>
      </c>
      <c r="FW96" s="766">
        <f t="shared" si="208"/>
        <v>2.4749558446962547</v>
      </c>
      <c r="FX96" s="766">
        <f t="shared" si="209"/>
        <v>3.9915393265785384</v>
      </c>
      <c r="FY96" s="766">
        <f t="shared" si="210"/>
        <v>7.8489205461860267</v>
      </c>
      <c r="FZ96" s="766">
        <f t="shared" si="211"/>
        <v>2.1640062286902948</v>
      </c>
      <c r="GA96" s="766">
        <f t="shared" si="212"/>
        <v>3.0911024796896727</v>
      </c>
      <c r="GB96" s="766">
        <f t="shared" si="213"/>
        <v>126.43447153409403</v>
      </c>
      <c r="GC96" s="766">
        <f t="shared" si="214"/>
        <v>20.49585307190905</v>
      </c>
      <c r="GD96" s="766">
        <f t="shared" si="215"/>
        <v>11.223205054622747</v>
      </c>
      <c r="GE96" s="766">
        <f t="shared" si="216"/>
        <v>5.1014568430103395</v>
      </c>
      <c r="GF96" s="766">
        <f t="shared" si="217"/>
        <v>4.4228521179634237</v>
      </c>
      <c r="GG96" s="766">
        <f t="shared" si="218"/>
        <v>3.1939942720567607</v>
      </c>
    </row>
    <row r="97" spans="15:189">
      <c r="O97" s="160"/>
      <c r="P97" s="160"/>
      <c r="Q97" s="160"/>
      <c r="R97" s="160"/>
      <c r="S97" s="160"/>
      <c r="T97" s="160"/>
      <c r="U97" s="160"/>
      <c r="V97" s="160"/>
      <c r="W97" s="160"/>
      <c r="X97" s="160"/>
      <c r="AH97" s="161"/>
      <c r="AI97" s="161"/>
      <c r="BY97" s="753" t="b">
        <f t="shared" si="219"/>
        <v>0</v>
      </c>
      <c r="BZ97" s="753">
        <f t="shared" si="148"/>
        <v>39.429232074144103</v>
      </c>
      <c r="CA97" s="751">
        <v>76</v>
      </c>
      <c r="CB97" s="752">
        <f t="shared" si="226"/>
        <v>45</v>
      </c>
      <c r="CC97" s="673">
        <f t="shared" si="149"/>
        <v>5.5707679258558986</v>
      </c>
      <c r="CD97" s="91">
        <f t="shared" si="150"/>
        <v>2</v>
      </c>
      <c r="CE97" s="752" t="b">
        <f t="shared" si="151"/>
        <v>0</v>
      </c>
      <c r="CF97" s="673"/>
      <c r="CG97" s="752">
        <f t="shared" si="152"/>
        <v>5.5707679258558986</v>
      </c>
      <c r="CH97" s="752">
        <f t="shared" si="153"/>
        <v>2.8825645005299778E-2</v>
      </c>
      <c r="CI97" s="752">
        <f t="shared" si="154"/>
        <v>1.9279730229573165E-3</v>
      </c>
      <c r="CJ97" s="755">
        <f t="shared" si="155"/>
        <v>5.325481846480371</v>
      </c>
      <c r="CK97" s="755">
        <f t="shared" si="156"/>
        <v>2.618137940118614</v>
      </c>
      <c r="CL97" s="755">
        <f t="shared" si="157"/>
        <v>4.8538375508742808</v>
      </c>
      <c r="CM97" s="755">
        <f t="shared" si="158"/>
        <v>9.5445346178169004</v>
      </c>
      <c r="CN97" s="755">
        <f t="shared" si="159"/>
        <v>2.5571989197416127</v>
      </c>
      <c r="CO97" s="755">
        <f t="shared" si="160"/>
        <v>3.6353789073543101</v>
      </c>
      <c r="CP97" s="755">
        <f t="shared" si="144"/>
        <v>36.03205625662472</v>
      </c>
      <c r="CQ97" s="755">
        <f t="shared" si="161"/>
        <v>5.8410314999845374</v>
      </c>
      <c r="CR97" s="755">
        <f t="shared" si="145"/>
        <v>39.381599259662231</v>
      </c>
      <c r="CS97" s="755">
        <f t="shared" si="162"/>
        <v>17.900726936210102</v>
      </c>
      <c r="CT97" s="755">
        <f t="shared" si="146"/>
        <v>5.5707679258558986</v>
      </c>
      <c r="CU97" s="755">
        <f t="shared" si="147"/>
        <v>3.9405358611374668</v>
      </c>
      <c r="CX97" s="755"/>
      <c r="CY97" s="755"/>
      <c r="CZ97" s="755"/>
      <c r="DA97" s="755"/>
      <c r="DB97" s="755"/>
      <c r="DC97" s="755"/>
      <c r="DD97" s="755" t="b">
        <f t="shared" si="220"/>
        <v>0</v>
      </c>
      <c r="DE97" s="755">
        <f t="shared" si="163"/>
        <v>8.2288633033521155</v>
      </c>
      <c r="DF97" s="755">
        <v>76</v>
      </c>
      <c r="DG97" s="755">
        <f t="shared" si="221"/>
        <v>12</v>
      </c>
      <c r="DH97" s="673">
        <f t="shared" si="164"/>
        <v>3.771136696647885</v>
      </c>
      <c r="DI97" s="673">
        <f t="shared" si="165"/>
        <v>2</v>
      </c>
      <c r="DJ97" s="766" t="b">
        <f t="shared" si="166"/>
        <v>0</v>
      </c>
      <c r="DK97" s="673"/>
      <c r="DL97" s="766">
        <f t="shared" si="167"/>
        <v>3.771136696647885</v>
      </c>
      <c r="DM97" s="766">
        <f t="shared" si="168"/>
        <v>0.1052760729295978</v>
      </c>
      <c r="DN97" s="766">
        <f t="shared" si="169"/>
        <v>7.041279684594547E-3</v>
      </c>
      <c r="DO97" s="766">
        <f t="shared" si="170"/>
        <v>4.7298671401592749</v>
      </c>
      <c r="DP97" s="766">
        <f t="shared" si="171"/>
        <v>2.4674746324000849</v>
      </c>
      <c r="DQ97" s="766">
        <f t="shared" si="172"/>
        <v>3.5111353927357176</v>
      </c>
      <c r="DR97" s="766">
        <f t="shared" si="173"/>
        <v>6.9042593520197064</v>
      </c>
      <c r="DS97" s="766">
        <f t="shared" si="174"/>
        <v>2.1524137155738052</v>
      </c>
      <c r="DT97" s="766">
        <f t="shared" si="175"/>
        <v>3.0750817641218728</v>
      </c>
      <c r="DU97" s="766">
        <f t="shared" si="176"/>
        <v>131.59509116199726</v>
      </c>
      <c r="DV97" s="766">
        <f t="shared" si="177"/>
        <v>21.33242319689267</v>
      </c>
      <c r="DW97" s="766">
        <f t="shared" si="178"/>
        <v>10.783076993754815</v>
      </c>
      <c r="DX97" s="766">
        <f t="shared" si="179"/>
        <v>4.9013986335249156</v>
      </c>
      <c r="DY97" s="766">
        <f t="shared" si="180"/>
        <v>3.771136696647885</v>
      </c>
      <c r="DZ97" s="766">
        <f t="shared" si="181"/>
        <v>3.1718440597864785</v>
      </c>
      <c r="EB97" s="755"/>
      <c r="EC97" s="755"/>
      <c r="ED97" s="755"/>
      <c r="EE97" s="755"/>
      <c r="EF97" s="755" t="b">
        <f t="shared" si="222"/>
        <v>0</v>
      </c>
      <c r="EG97" s="755">
        <f t="shared" si="182"/>
        <v>39.429232074144103</v>
      </c>
      <c r="EH97" s="755">
        <v>76</v>
      </c>
      <c r="EI97" s="755">
        <f t="shared" si="227"/>
        <v>45</v>
      </c>
      <c r="EJ97" s="673">
        <f t="shared" si="183"/>
        <v>5.5707679258558986</v>
      </c>
      <c r="EK97" s="673">
        <f t="shared" si="184"/>
        <v>2.2510196371999172</v>
      </c>
      <c r="EL97" s="755" t="b">
        <f t="shared" si="185"/>
        <v>0</v>
      </c>
      <c r="EM97" s="673"/>
      <c r="EN97" s="755">
        <f t="shared" si="186"/>
        <v>5.5707679258558986</v>
      </c>
      <c r="EO97" s="755">
        <f t="shared" si="187"/>
        <v>2.8825645005299778E-2</v>
      </c>
      <c r="EP97" s="755">
        <f t="shared" si="188"/>
        <v>1.9279730229573165E-3</v>
      </c>
      <c r="EQ97" s="755">
        <f t="shared" si="189"/>
        <v>5.325481846480371</v>
      </c>
      <c r="ER97" s="755">
        <f t="shared" si="190"/>
        <v>2.618137940118614</v>
      </c>
      <c r="ES97" s="755">
        <f t="shared" si="191"/>
        <v>4.8538375508742808</v>
      </c>
      <c r="ET97" s="755">
        <f t="shared" si="192"/>
        <v>9.5445346178169004</v>
      </c>
      <c r="EU97" s="755">
        <f t="shared" si="193"/>
        <v>2.5571989197416127</v>
      </c>
      <c r="EV97" s="755">
        <f t="shared" si="194"/>
        <v>3.6353789073543101</v>
      </c>
      <c r="EW97" s="755">
        <f t="shared" si="195"/>
        <v>36.03205625662472</v>
      </c>
      <c r="EX97" s="755">
        <f t="shared" si="196"/>
        <v>5.8410314999845374</v>
      </c>
      <c r="EY97" s="755">
        <f t="shared" si="223"/>
        <v>39.381599259662231</v>
      </c>
      <c r="EZ97" s="755">
        <f t="shared" si="197"/>
        <v>17.900726936210102</v>
      </c>
      <c r="FA97" s="755">
        <f t="shared" si="198"/>
        <v>5.5707679258558986</v>
      </c>
      <c r="FB97" s="755">
        <f t="shared" si="199"/>
        <v>3.9405358611374668</v>
      </c>
      <c r="FC97" s="755"/>
      <c r="FD97" s="755"/>
      <c r="FE97" s="755"/>
      <c r="FF97" s="755"/>
      <c r="FG97" s="755"/>
      <c r="FH97" s="755"/>
      <c r="FI97" s="755"/>
      <c r="FJ97" s="755"/>
      <c r="FK97" s="755" t="b">
        <f t="shared" si="224"/>
        <v>0</v>
      </c>
      <c r="FL97" s="755">
        <f t="shared" si="200"/>
        <v>8.8281559402135219</v>
      </c>
      <c r="FM97" s="755">
        <v>76</v>
      </c>
      <c r="FN97" s="767">
        <f t="shared" si="225"/>
        <v>12</v>
      </c>
      <c r="FO97" s="673">
        <f t="shared" si="201"/>
        <v>3.1718440597864785</v>
      </c>
      <c r="FP97" s="673">
        <f t="shared" si="202"/>
        <v>2.2510196371999172</v>
      </c>
      <c r="FQ97" s="766" t="b">
        <f t="shared" si="203"/>
        <v>0</v>
      </c>
      <c r="FR97" s="673"/>
      <c r="FS97" s="767">
        <f t="shared" si="204"/>
        <v>3.1718440597864785</v>
      </c>
      <c r="FT97" s="766">
        <f t="shared" si="205"/>
        <v>0.1052760729295978</v>
      </c>
      <c r="FU97" s="766">
        <f t="shared" si="206"/>
        <v>7.041279684594547E-3</v>
      </c>
      <c r="FV97" s="766">
        <f t="shared" si="207"/>
        <v>4.7298671401592749</v>
      </c>
      <c r="FW97" s="766">
        <f t="shared" si="208"/>
        <v>2.4674746324000849</v>
      </c>
      <c r="FX97" s="766">
        <f t="shared" si="209"/>
        <v>3.951817358957872</v>
      </c>
      <c r="FY97" s="766">
        <f t="shared" si="210"/>
        <v>7.7708116908587677</v>
      </c>
      <c r="FZ97" s="766">
        <f t="shared" si="211"/>
        <v>2.1524137155738052</v>
      </c>
      <c r="GA97" s="766">
        <f t="shared" si="212"/>
        <v>3.0750817641218728</v>
      </c>
      <c r="GB97" s="766">
        <f t="shared" si="213"/>
        <v>131.59509116199726</v>
      </c>
      <c r="GC97" s="766">
        <f t="shared" si="214"/>
        <v>21.33242319689267</v>
      </c>
      <c r="GD97" s="766">
        <f t="shared" si="215"/>
        <v>10.783076993754815</v>
      </c>
      <c r="GE97" s="766">
        <f t="shared" si="216"/>
        <v>4.9013986335249156</v>
      </c>
      <c r="GF97" s="766">
        <f t="shared" si="217"/>
        <v>4.369300305599439</v>
      </c>
      <c r="GG97" s="766">
        <f t="shared" si="218"/>
        <v>3.1718440597864785</v>
      </c>
    </row>
    <row r="98" spans="15:189">
      <c r="AO98" s="680"/>
      <c r="AP98" s="680" t="s">
        <v>1527</v>
      </c>
      <c r="AQ98" s="715" t="b">
        <v>1</v>
      </c>
      <c r="AR98" s="715" t="b">
        <v>0</v>
      </c>
      <c r="AS98" s="715" t="b">
        <v>0</v>
      </c>
      <c r="AU98" s="694"/>
      <c r="AV98" s="694"/>
      <c r="AW98" s="694" t="s">
        <v>587</v>
      </c>
      <c r="AX98" s="694"/>
      <c r="AY98" s="694"/>
      <c r="AZ98" s="694"/>
      <c r="BA98" s="694"/>
      <c r="BB98" s="694"/>
      <c r="BC98" s="694" t="s">
        <v>587</v>
      </c>
      <c r="BD98" s="694"/>
      <c r="BE98" s="694"/>
      <c r="BY98" s="753" t="b">
        <f t="shared" si="219"/>
        <v>0</v>
      </c>
      <c r="BZ98" s="753">
        <f t="shared" si="148"/>
        <v>39.911929110039488</v>
      </c>
      <c r="CA98" s="751">
        <v>77</v>
      </c>
      <c r="CB98" s="752">
        <f t="shared" si="226"/>
        <v>45.5</v>
      </c>
      <c r="CC98" s="673">
        <f t="shared" si="149"/>
        <v>5.5880708899605107</v>
      </c>
      <c r="CD98" s="91">
        <f t="shared" si="150"/>
        <v>2</v>
      </c>
      <c r="CE98" s="752" t="b">
        <f t="shared" si="151"/>
        <v>0</v>
      </c>
      <c r="CF98" s="673"/>
      <c r="CG98" s="752">
        <f t="shared" si="152"/>
        <v>5.5880708899605107</v>
      </c>
      <c r="CH98" s="752">
        <f t="shared" si="153"/>
        <v>2.8515180740808523E-2</v>
      </c>
      <c r="CI98" s="752">
        <f t="shared" si="154"/>
        <v>1.9072079463589829E-3</v>
      </c>
      <c r="CJ98" s="755">
        <f t="shared" si="155"/>
        <v>5.3283083958955917</v>
      </c>
      <c r="CK98" s="755">
        <f t="shared" si="156"/>
        <v>2.6188072174373245</v>
      </c>
      <c r="CL98" s="755">
        <f t="shared" si="157"/>
        <v>4.8669957106922856</v>
      </c>
      <c r="CM98" s="755">
        <f t="shared" si="158"/>
        <v>9.5704086835583624</v>
      </c>
      <c r="CN98" s="755">
        <f t="shared" si="159"/>
        <v>2.5608531055071468</v>
      </c>
      <c r="CO98" s="755">
        <f t="shared" si="160"/>
        <v>3.64044457847268</v>
      </c>
      <c r="CP98" s="755">
        <f t="shared" si="144"/>
        <v>35.643975926010654</v>
      </c>
      <c r="CQ98" s="755">
        <f t="shared" si="161"/>
        <v>5.7781211453964776</v>
      </c>
      <c r="CR98" s="755">
        <f t="shared" si="145"/>
        <v>39.810373650390282</v>
      </c>
      <c r="CS98" s="755">
        <f t="shared" si="162"/>
        <v>18.095624386541036</v>
      </c>
      <c r="CT98" s="755">
        <f t="shared" si="146"/>
        <v>5.5880708899605107</v>
      </c>
      <c r="CU98" s="755">
        <f t="shared" si="147"/>
        <v>3.9474299703647051</v>
      </c>
      <c r="CX98" s="755"/>
      <c r="CY98" s="755"/>
      <c r="CZ98" s="755"/>
      <c r="DA98" s="755"/>
      <c r="DB98" s="755"/>
      <c r="DC98" s="755"/>
      <c r="DD98" s="755" t="b">
        <f t="shared" si="220"/>
        <v>0</v>
      </c>
      <c r="DE98" s="755">
        <f t="shared" si="163"/>
        <v>7.7786343063926937</v>
      </c>
      <c r="DF98" s="755">
        <v>77</v>
      </c>
      <c r="DG98" s="755">
        <f t="shared" si="221"/>
        <v>11.5</v>
      </c>
      <c r="DH98" s="673">
        <f t="shared" si="164"/>
        <v>3.7213656936073063</v>
      </c>
      <c r="DI98" s="673">
        <f t="shared" si="165"/>
        <v>2</v>
      </c>
      <c r="DJ98" s="766" t="b">
        <f t="shared" si="166"/>
        <v>0</v>
      </c>
      <c r="DK98" s="673"/>
      <c r="DL98" s="766">
        <f t="shared" si="167"/>
        <v>3.7213656936073063</v>
      </c>
      <c r="DM98" s="766">
        <f t="shared" si="168"/>
        <v>0.10975982700010306</v>
      </c>
      <c r="DN98" s="766">
        <f t="shared" si="169"/>
        <v>7.341170871345783E-3</v>
      </c>
      <c r="DO98" s="766">
        <f t="shared" si="170"/>
        <v>4.7001435695440197</v>
      </c>
      <c r="DP98" s="766">
        <f t="shared" si="171"/>
        <v>2.459426014594039</v>
      </c>
      <c r="DQ98" s="766">
        <f t="shared" si="172"/>
        <v>3.4747146250358956</v>
      </c>
      <c r="DR98" s="766">
        <f t="shared" si="173"/>
        <v>6.8326419411618176</v>
      </c>
      <c r="DS98" s="766">
        <f t="shared" si="174"/>
        <v>2.140386018257884</v>
      </c>
      <c r="DT98" s="766">
        <f t="shared" si="175"/>
        <v>3.0584613660538098</v>
      </c>
      <c r="DU98" s="766">
        <f t="shared" si="176"/>
        <v>137.19978375012883</v>
      </c>
      <c r="DV98" s="766">
        <f t="shared" si="177"/>
        <v>22.240980447188019</v>
      </c>
      <c r="DW98" s="766">
        <f t="shared" si="178"/>
        <v>10.342581899285738</v>
      </c>
      <c r="DX98" s="766">
        <f t="shared" si="179"/>
        <v>4.7011735905844265</v>
      </c>
      <c r="DY98" s="766">
        <f t="shared" si="180"/>
        <v>3.7213656936073063</v>
      </c>
      <c r="DZ98" s="766">
        <f t="shared" si="181"/>
        <v>3.1488540124074023</v>
      </c>
      <c r="EB98" s="755"/>
      <c r="EC98" s="755"/>
      <c r="ED98" s="755"/>
      <c r="EE98" s="755"/>
      <c r="EF98" s="755" t="b">
        <f t="shared" si="222"/>
        <v>0</v>
      </c>
      <c r="EG98" s="755">
        <f t="shared" si="182"/>
        <v>39.911929110039488</v>
      </c>
      <c r="EH98" s="755">
        <v>77</v>
      </c>
      <c r="EI98" s="755">
        <f t="shared" si="227"/>
        <v>45.5</v>
      </c>
      <c r="EJ98" s="673">
        <f t="shared" si="183"/>
        <v>5.5880708899605107</v>
      </c>
      <c r="EK98" s="673">
        <f t="shared" si="184"/>
        <v>2.2510196371999172</v>
      </c>
      <c r="EL98" s="755" t="b">
        <f t="shared" si="185"/>
        <v>0</v>
      </c>
      <c r="EM98" s="673"/>
      <c r="EN98" s="755">
        <f t="shared" si="186"/>
        <v>5.5880708899605107</v>
      </c>
      <c r="EO98" s="755">
        <f t="shared" si="187"/>
        <v>2.8515180740808523E-2</v>
      </c>
      <c r="EP98" s="755">
        <f t="shared" si="188"/>
        <v>1.9072079463589829E-3</v>
      </c>
      <c r="EQ98" s="755">
        <f t="shared" si="189"/>
        <v>5.3283083958955917</v>
      </c>
      <c r="ER98" s="755">
        <f t="shared" si="190"/>
        <v>2.6188072174373245</v>
      </c>
      <c r="ES98" s="755">
        <f t="shared" si="191"/>
        <v>4.8669957106922856</v>
      </c>
      <c r="ET98" s="755">
        <f t="shared" si="192"/>
        <v>9.5704086835583624</v>
      </c>
      <c r="EU98" s="755">
        <f t="shared" si="193"/>
        <v>2.5608531055071468</v>
      </c>
      <c r="EV98" s="755">
        <f t="shared" si="194"/>
        <v>3.64044457847268</v>
      </c>
      <c r="EW98" s="755">
        <f t="shared" si="195"/>
        <v>35.643975926010654</v>
      </c>
      <c r="EX98" s="755">
        <f t="shared" si="196"/>
        <v>5.7781211453964776</v>
      </c>
      <c r="EY98" s="755">
        <f t="shared" si="223"/>
        <v>39.810373650390282</v>
      </c>
      <c r="EZ98" s="755">
        <f t="shared" si="197"/>
        <v>18.095624386541036</v>
      </c>
      <c r="FA98" s="755">
        <f t="shared" si="198"/>
        <v>5.5880708899605107</v>
      </c>
      <c r="FB98" s="755">
        <f t="shared" si="199"/>
        <v>3.9474299703647051</v>
      </c>
      <c r="FC98" s="755"/>
      <c r="FD98" s="755"/>
      <c r="FE98" s="755"/>
      <c r="FF98" s="755"/>
      <c r="FG98" s="755"/>
      <c r="FH98" s="755"/>
      <c r="FI98" s="755"/>
      <c r="FJ98" s="755"/>
      <c r="FK98" s="755" t="b">
        <f t="shared" si="224"/>
        <v>0</v>
      </c>
      <c r="FL98" s="755">
        <f t="shared" si="200"/>
        <v>8.3511459875925986</v>
      </c>
      <c r="FM98" s="755">
        <v>77</v>
      </c>
      <c r="FN98" s="767">
        <f t="shared" si="225"/>
        <v>11.5</v>
      </c>
      <c r="FO98" s="673">
        <f t="shared" si="201"/>
        <v>3.1488540124074023</v>
      </c>
      <c r="FP98" s="673">
        <f t="shared" si="202"/>
        <v>2.2510196371999172</v>
      </c>
      <c r="FQ98" s="766" t="b">
        <f t="shared" si="203"/>
        <v>0</v>
      </c>
      <c r="FR98" s="673"/>
      <c r="FS98" s="767">
        <f t="shared" si="204"/>
        <v>3.1488540124074023</v>
      </c>
      <c r="FT98" s="766">
        <f t="shared" si="205"/>
        <v>0.10975982700010306</v>
      </c>
      <c r="FU98" s="766">
        <f t="shared" si="206"/>
        <v>7.341170871345783E-3</v>
      </c>
      <c r="FV98" s="766">
        <f t="shared" si="207"/>
        <v>4.7001435695440197</v>
      </c>
      <c r="FW98" s="766">
        <f t="shared" si="208"/>
        <v>2.459426014594039</v>
      </c>
      <c r="FX98" s="766">
        <f t="shared" si="209"/>
        <v>3.9108254273107739</v>
      </c>
      <c r="FY98" s="766">
        <f t="shared" si="210"/>
        <v>7.6902055917555066</v>
      </c>
      <c r="FZ98" s="766">
        <f t="shared" si="211"/>
        <v>2.140386018257884</v>
      </c>
      <c r="GA98" s="766">
        <f t="shared" si="212"/>
        <v>3.0584613660538098</v>
      </c>
      <c r="GB98" s="766">
        <f t="shared" si="213"/>
        <v>137.19978375012883</v>
      </c>
      <c r="GC98" s="766">
        <f t="shared" si="214"/>
        <v>22.240980447188019</v>
      </c>
      <c r="GD98" s="766">
        <f t="shared" si="215"/>
        <v>10.342581899285738</v>
      </c>
      <c r="GE98" s="766">
        <f t="shared" si="216"/>
        <v>4.7011735905844265</v>
      </c>
      <c r="GF98" s="766">
        <f t="shared" si="217"/>
        <v>4.313973415652149</v>
      </c>
      <c r="GG98" s="766">
        <f t="shared" si="218"/>
        <v>3.1488540124074023</v>
      </c>
    </row>
    <row r="99" spans="15:189">
      <c r="AN99" s="680"/>
      <c r="AO99" s="680"/>
      <c r="AP99" s="680"/>
      <c r="AQ99" s="680">
        <v>1</v>
      </c>
      <c r="AR99" s="680">
        <v>2</v>
      </c>
      <c r="AS99" s="680">
        <v>3</v>
      </c>
      <c r="AU99" s="694"/>
      <c r="AV99" s="694"/>
      <c r="AW99" s="694">
        <v>1</v>
      </c>
      <c r="AX99" s="694">
        <v>2</v>
      </c>
      <c r="AY99" s="694">
        <v>3</v>
      </c>
      <c r="AZ99" s="694"/>
      <c r="BA99" s="694"/>
      <c r="BB99" s="694"/>
      <c r="BC99" s="694">
        <v>1</v>
      </c>
      <c r="BD99" s="694">
        <v>2</v>
      </c>
      <c r="BE99" s="694">
        <v>3</v>
      </c>
      <c r="BY99" s="753" t="b">
        <f t="shared" si="219"/>
        <v>0</v>
      </c>
      <c r="BZ99" s="753">
        <f t="shared" si="148"/>
        <v>40.394775375144697</v>
      </c>
      <c r="CA99" s="751">
        <v>78</v>
      </c>
      <c r="CB99" s="752">
        <f t="shared" si="226"/>
        <v>46</v>
      </c>
      <c r="CC99" s="673">
        <f t="shared" si="149"/>
        <v>5.6052246248553059</v>
      </c>
      <c r="CD99" s="91">
        <f t="shared" si="150"/>
        <v>2</v>
      </c>
      <c r="CE99" s="752" t="b">
        <f t="shared" si="151"/>
        <v>0</v>
      </c>
      <c r="CF99" s="673"/>
      <c r="CG99" s="752">
        <f t="shared" si="152"/>
        <v>5.6052246248553059</v>
      </c>
      <c r="CH99" s="752">
        <f t="shared" si="153"/>
        <v>2.8211398937545949E-2</v>
      </c>
      <c r="CI99" s="752">
        <f t="shared" si="154"/>
        <v>1.8868898191688405E-3</v>
      </c>
      <c r="CJ99" s="755">
        <f t="shared" si="155"/>
        <v>5.3310778850863016</v>
      </c>
      <c r="CK99" s="755">
        <f t="shared" si="156"/>
        <v>2.619462586231124</v>
      </c>
      <c r="CL99" s="755">
        <f t="shared" si="157"/>
        <v>4.8800451497835402</v>
      </c>
      <c r="CM99" s="755">
        <f t="shared" si="158"/>
        <v>9.5960689620172364</v>
      </c>
      <c r="CN99" s="755">
        <f t="shared" si="159"/>
        <v>2.5644720111401966</v>
      </c>
      <c r="CO99" s="755">
        <f t="shared" si="160"/>
        <v>3.6454614633468454</v>
      </c>
      <c r="CP99" s="755">
        <f t="shared" si="144"/>
        <v>35.264248671932435</v>
      </c>
      <c r="CQ99" s="755">
        <f t="shared" si="161"/>
        <v>5.7165648790353059</v>
      </c>
      <c r="CR99" s="755">
        <f t="shared" si="145"/>
        <v>40.239053813428107</v>
      </c>
      <c r="CS99" s="755">
        <f t="shared" si="162"/>
        <v>18.290479006103684</v>
      </c>
      <c r="CT99" s="755">
        <f t="shared" si="146"/>
        <v>5.6052246248553059</v>
      </c>
      <c r="CU99" s="755">
        <f t="shared" si="147"/>
        <v>3.9542567088555507</v>
      </c>
      <c r="CX99" s="755"/>
      <c r="CY99" s="755"/>
      <c r="CZ99" s="755"/>
      <c r="DA99" s="755"/>
      <c r="DB99" s="755"/>
      <c r="DC99" s="755"/>
      <c r="DD99" s="755" t="b">
        <f t="shared" si="220"/>
        <v>0</v>
      </c>
      <c r="DE99" s="755">
        <f t="shared" si="163"/>
        <v>7.3301210618778576</v>
      </c>
      <c r="DF99" s="755">
        <v>78</v>
      </c>
      <c r="DG99" s="755">
        <f t="shared" si="221"/>
        <v>11</v>
      </c>
      <c r="DH99" s="673">
        <f t="shared" si="164"/>
        <v>3.6698789381221424</v>
      </c>
      <c r="DI99" s="673">
        <f t="shared" si="165"/>
        <v>2</v>
      </c>
      <c r="DJ99" s="766" t="b">
        <f t="shared" si="166"/>
        <v>0</v>
      </c>
      <c r="DK99" s="673"/>
      <c r="DL99" s="766">
        <f t="shared" si="167"/>
        <v>3.6698789381221424</v>
      </c>
      <c r="DM99" s="766">
        <f t="shared" si="168"/>
        <v>0.11464693955386734</v>
      </c>
      <c r="DN99" s="766">
        <f t="shared" si="169"/>
        <v>7.6680402670550986E-3</v>
      </c>
      <c r="DO99" s="766">
        <f t="shared" si="170"/>
        <v>4.6682932861202202</v>
      </c>
      <c r="DP99" s="766">
        <f t="shared" si="171"/>
        <v>2.4507424263530981</v>
      </c>
      <c r="DQ99" s="766">
        <f t="shared" si="172"/>
        <v>3.437077930236248</v>
      </c>
      <c r="DR99" s="766">
        <f t="shared" si="173"/>
        <v>6.7586335441665906</v>
      </c>
      <c r="DS99" s="766">
        <f t="shared" si="174"/>
        <v>2.1278867484411794</v>
      </c>
      <c r="DT99" s="766">
        <f t="shared" si="175"/>
        <v>3.0411912170218245</v>
      </c>
      <c r="DU99" s="766">
        <f t="shared" si="176"/>
        <v>143.30867444233419</v>
      </c>
      <c r="DV99" s="766">
        <f t="shared" si="177"/>
        <v>23.231271501048525</v>
      </c>
      <c r="DW99" s="766">
        <f t="shared" si="178"/>
        <v>9.9017034769307681</v>
      </c>
      <c r="DX99" s="766">
        <f t="shared" si="179"/>
        <v>4.5007743076958029</v>
      </c>
      <c r="DY99" s="766">
        <f t="shared" si="180"/>
        <v>3.6698789381221424</v>
      </c>
      <c r="DZ99" s="766">
        <f t="shared" si="181"/>
        <v>3.1249536331301613</v>
      </c>
      <c r="EB99" s="755"/>
      <c r="EC99" s="755"/>
      <c r="ED99" s="755"/>
      <c r="EE99" s="755"/>
      <c r="EF99" s="755" t="b">
        <f t="shared" si="222"/>
        <v>0</v>
      </c>
      <c r="EG99" s="755">
        <f t="shared" si="182"/>
        <v>40.394775375144697</v>
      </c>
      <c r="EH99" s="755">
        <v>78</v>
      </c>
      <c r="EI99" s="755">
        <f t="shared" si="227"/>
        <v>46</v>
      </c>
      <c r="EJ99" s="673">
        <f t="shared" si="183"/>
        <v>5.6052246248553059</v>
      </c>
      <c r="EK99" s="673">
        <f t="shared" si="184"/>
        <v>2.2510196371999172</v>
      </c>
      <c r="EL99" s="755" t="b">
        <f t="shared" si="185"/>
        <v>0</v>
      </c>
      <c r="EM99" s="673"/>
      <c r="EN99" s="755">
        <f t="shared" si="186"/>
        <v>5.6052246248553059</v>
      </c>
      <c r="EO99" s="755">
        <f t="shared" si="187"/>
        <v>2.8211398937545949E-2</v>
      </c>
      <c r="EP99" s="755">
        <f t="shared" si="188"/>
        <v>1.8868898191688405E-3</v>
      </c>
      <c r="EQ99" s="755">
        <f t="shared" si="189"/>
        <v>5.3310778850863016</v>
      </c>
      <c r="ER99" s="755">
        <f t="shared" si="190"/>
        <v>2.619462586231124</v>
      </c>
      <c r="ES99" s="755">
        <f t="shared" si="191"/>
        <v>4.8800451497835402</v>
      </c>
      <c r="ET99" s="755">
        <f t="shared" si="192"/>
        <v>9.5960689620172364</v>
      </c>
      <c r="EU99" s="755">
        <f t="shared" si="193"/>
        <v>2.5644720111401966</v>
      </c>
      <c r="EV99" s="755">
        <f t="shared" si="194"/>
        <v>3.6454614633468454</v>
      </c>
      <c r="EW99" s="755">
        <f t="shared" si="195"/>
        <v>35.264248671932435</v>
      </c>
      <c r="EX99" s="755">
        <f t="shared" si="196"/>
        <v>5.7165648790353059</v>
      </c>
      <c r="EY99" s="755">
        <f t="shared" si="223"/>
        <v>40.239053813428107</v>
      </c>
      <c r="EZ99" s="755">
        <f t="shared" si="197"/>
        <v>18.290479006103684</v>
      </c>
      <c r="FA99" s="755">
        <f t="shared" si="198"/>
        <v>5.6052246248553059</v>
      </c>
      <c r="FB99" s="755">
        <f t="shared" si="199"/>
        <v>3.9542567088555507</v>
      </c>
      <c r="FC99" s="755"/>
      <c r="FD99" s="755"/>
      <c r="FE99" s="755"/>
      <c r="FF99" s="755"/>
      <c r="FG99" s="755"/>
      <c r="FH99" s="755"/>
      <c r="FI99" s="755"/>
      <c r="FJ99" s="755"/>
      <c r="FK99" s="755" t="b">
        <f t="shared" si="224"/>
        <v>0</v>
      </c>
      <c r="FL99" s="755">
        <f t="shared" si="200"/>
        <v>7.8750463668698387</v>
      </c>
      <c r="FM99" s="755">
        <v>78</v>
      </c>
      <c r="FN99" s="767">
        <f t="shared" si="225"/>
        <v>11</v>
      </c>
      <c r="FO99" s="673">
        <f t="shared" si="201"/>
        <v>3.1249536331301613</v>
      </c>
      <c r="FP99" s="673">
        <f t="shared" si="202"/>
        <v>2.2510196371999172</v>
      </c>
      <c r="FQ99" s="766" t="b">
        <f t="shared" si="203"/>
        <v>0</v>
      </c>
      <c r="FR99" s="673"/>
      <c r="FS99" s="767">
        <f t="shared" si="204"/>
        <v>3.1249536331301613</v>
      </c>
      <c r="FT99" s="766">
        <f t="shared" si="205"/>
        <v>0.11464693955386734</v>
      </c>
      <c r="FU99" s="766">
        <f t="shared" si="206"/>
        <v>7.6680402670550986E-3</v>
      </c>
      <c r="FV99" s="766">
        <f t="shared" si="207"/>
        <v>4.6682932861202202</v>
      </c>
      <c r="FW99" s="766">
        <f t="shared" si="208"/>
        <v>2.4507424263530981</v>
      </c>
      <c r="FX99" s="766">
        <f t="shared" si="209"/>
        <v>3.8684649577741204</v>
      </c>
      <c r="FY99" s="766">
        <f t="shared" si="210"/>
        <v>7.6069084142785348</v>
      </c>
      <c r="FZ99" s="766">
        <f t="shared" si="211"/>
        <v>2.1278867484411794</v>
      </c>
      <c r="GA99" s="766">
        <f t="shared" si="212"/>
        <v>3.0411912170218245</v>
      </c>
      <c r="GB99" s="766">
        <f t="shared" si="213"/>
        <v>143.30867444233419</v>
      </c>
      <c r="GC99" s="766">
        <f t="shared" si="214"/>
        <v>23.231271501048525</v>
      </c>
      <c r="GD99" s="766">
        <f t="shared" si="215"/>
        <v>9.9017034769307681</v>
      </c>
      <c r="GE99" s="766">
        <f t="shared" si="216"/>
        <v>4.5007743076958029</v>
      </c>
      <c r="GF99" s="766">
        <f t="shared" si="217"/>
        <v>4.2567321071476796</v>
      </c>
      <c r="GG99" s="766">
        <f t="shared" si="218"/>
        <v>3.1249536331301613</v>
      </c>
    </row>
    <row r="100" spans="15:189">
      <c r="AN100" s="680" t="b">
        <v>0</v>
      </c>
      <c r="AO100" s="1060" t="s">
        <v>13</v>
      </c>
      <c r="AP100" s="1061"/>
      <c r="AQ100" s="78">
        <f>0.03/(2.2*(10^(AS10+(AT10*(LOG((0.03*AB7)/V30))))))</f>
        <v>7.7109788435313405E-3</v>
      </c>
      <c r="AR100" s="78">
        <f>0.03/(2.2*(10^(AS11+(AT11*(LOG((0.03*AB8)/V50))))))</f>
        <v>2.7165051980364445E-2</v>
      </c>
      <c r="AS100" s="78">
        <f>0.03/(2.2*(10^(AS12+(AT12*(LOG((0.03*AB9)/V70))))))</f>
        <v>7.6564181805682061E-3</v>
      </c>
      <c r="AU100" s="1060" t="s">
        <v>548</v>
      </c>
      <c r="AV100" s="1061"/>
      <c r="AW100" s="72">
        <f>IF((100*(-0.0126+0.01475*X7))/(1+(-0.0126+0.01475*X7))&lt;0.5,0.5,(100*(-0.0126+0.01475*X7))/(1+(-0.0126+0.01475*X7)))</f>
        <v>1.6619136591601928</v>
      </c>
      <c r="AX100" s="72">
        <f>IF((100*(-0.0126+0.01475*X8))/(1+(-0.0126+0.01475*X8))&lt;0.5,0.5,(100*(-0.0126+0.01475*X8))/(1+(-0.0126+0.01475*X8)))</f>
        <v>21.113872125586717</v>
      </c>
      <c r="AY100" s="73">
        <f>IF((100*(-0.0126+0.01475*X9))/(1+(-0.0126+0.01475*X9))&lt;0.5,0.5,(100*(-0.0126+0.01475*X9))/(1+(-0.0126+0.01475*X9)))</f>
        <v>27.055219199066304</v>
      </c>
      <c r="AZ100" s="694" t="b">
        <v>1</v>
      </c>
      <c r="BA100" s="1060" t="s">
        <v>574</v>
      </c>
      <c r="BB100" s="1061"/>
      <c r="BC100" s="695">
        <f>(W7/(2.2*((0.976*AQ82+0.022)^0.625)))</f>
        <v>4.2977952616334081</v>
      </c>
      <c r="BD100" s="695">
        <f>(W8/(2.2*((0.976*AR82+0.022)^0.625)))</f>
        <v>1.0833430011852809</v>
      </c>
      <c r="BE100" s="696">
        <f>(W9/(2.2*((0.976*AS82+0.022)^0.625)))</f>
        <v>7.5667634335456135</v>
      </c>
      <c r="BY100" s="753" t="b">
        <f t="shared" si="219"/>
        <v>0</v>
      </c>
      <c r="BZ100" s="753">
        <f t="shared" si="148"/>
        <v>40.877767996501625</v>
      </c>
      <c r="CA100" s="751">
        <v>79</v>
      </c>
      <c r="CB100" s="752">
        <f t="shared" si="226"/>
        <v>46.5</v>
      </c>
      <c r="CC100" s="673">
        <f t="shared" si="149"/>
        <v>5.6222320034983753</v>
      </c>
      <c r="CD100" s="91">
        <f t="shared" si="150"/>
        <v>2</v>
      </c>
      <c r="CE100" s="752" t="b">
        <f t="shared" si="151"/>
        <v>0</v>
      </c>
      <c r="CF100" s="673"/>
      <c r="CG100" s="752">
        <f t="shared" si="152"/>
        <v>5.6222320034983753</v>
      </c>
      <c r="CH100" s="752">
        <f t="shared" si="153"/>
        <v>2.791408544614131E-2</v>
      </c>
      <c r="CI100" s="752">
        <f t="shared" si="154"/>
        <v>1.8670043182309082E-3</v>
      </c>
      <c r="CJ100" s="755">
        <f t="shared" si="155"/>
        <v>5.333792031540459</v>
      </c>
      <c r="CK100" s="755">
        <f t="shared" si="156"/>
        <v>2.6201044771617035</v>
      </c>
      <c r="CL100" s="755">
        <f t="shared" si="157"/>
        <v>4.8929879337086879</v>
      </c>
      <c r="CM100" s="755">
        <f t="shared" si="158"/>
        <v>9.6215195148900339</v>
      </c>
      <c r="CN100" s="755">
        <f t="shared" si="159"/>
        <v>2.5680563556340421</v>
      </c>
      <c r="CO100" s="755">
        <f t="shared" si="160"/>
        <v>3.6504305549082772</v>
      </c>
      <c r="CP100" s="755">
        <f t="shared" si="144"/>
        <v>34.892606807676636</v>
      </c>
      <c r="CQ100" s="755">
        <f t="shared" si="161"/>
        <v>5.6563193071375881</v>
      </c>
      <c r="CR100" s="755">
        <f t="shared" si="145"/>
        <v>40.667640793401809</v>
      </c>
      <c r="CS100" s="755">
        <f t="shared" si="162"/>
        <v>18.485291269728094</v>
      </c>
      <c r="CT100" s="755">
        <f t="shared" si="146"/>
        <v>5.6222320034983753</v>
      </c>
      <c r="CU100" s="755">
        <f t="shared" si="147"/>
        <v>3.9610174559751963</v>
      </c>
      <c r="CX100" s="755"/>
      <c r="CY100" s="755"/>
      <c r="CZ100" s="755"/>
      <c r="DA100" s="755"/>
      <c r="DB100" s="755"/>
      <c r="DC100" s="755"/>
      <c r="DD100" s="755" t="b">
        <f t="shared" si="220"/>
        <v>0</v>
      </c>
      <c r="DE100" s="755">
        <f t="shared" si="163"/>
        <v>6.8834643042376022</v>
      </c>
      <c r="DF100" s="755">
        <v>79</v>
      </c>
      <c r="DG100" s="755">
        <f t="shared" si="221"/>
        <v>10.5</v>
      </c>
      <c r="DH100" s="673">
        <f t="shared" si="164"/>
        <v>3.6165356957623978</v>
      </c>
      <c r="DI100" s="673">
        <f t="shared" si="165"/>
        <v>2</v>
      </c>
      <c r="DJ100" s="766" t="b">
        <f t="shared" si="166"/>
        <v>0</v>
      </c>
      <c r="DK100" s="673"/>
      <c r="DL100" s="766">
        <f t="shared" si="167"/>
        <v>3.6165356957623978</v>
      </c>
      <c r="DM100" s="766">
        <f t="shared" si="168"/>
        <v>0.11999462264096579</v>
      </c>
      <c r="DN100" s="766">
        <f t="shared" si="169"/>
        <v>8.0257144396661644E-3</v>
      </c>
      <c r="DO100" s="766">
        <f t="shared" si="170"/>
        <v>4.6340768993951622</v>
      </c>
      <c r="DP100" s="766">
        <f t="shared" si="171"/>
        <v>2.4413450735635149</v>
      </c>
      <c r="DQ100" s="766">
        <f t="shared" si="172"/>
        <v>3.3981265589726251</v>
      </c>
      <c r="DR100" s="766">
        <f t="shared" si="173"/>
        <v>6.6820399813329674</v>
      </c>
      <c r="DS100" s="766">
        <f t="shared" si="174"/>
        <v>2.114874643203621</v>
      </c>
      <c r="DT100" s="766">
        <f t="shared" si="175"/>
        <v>3.0232145480032706</v>
      </c>
      <c r="DU100" s="766">
        <f t="shared" si="176"/>
        <v>149.99327830120723</v>
      </c>
      <c r="DV100" s="766">
        <f t="shared" si="177"/>
        <v>24.314889416898577</v>
      </c>
      <c r="DW100" s="766">
        <f t="shared" si="178"/>
        <v>9.4604239341342478</v>
      </c>
      <c r="DX100" s="766">
        <f t="shared" si="179"/>
        <v>4.300192697333749</v>
      </c>
      <c r="DY100" s="766">
        <f t="shared" si="180"/>
        <v>3.6165356957623978</v>
      </c>
      <c r="DZ100" s="766">
        <f t="shared" si="181"/>
        <v>3.1000629588904496</v>
      </c>
      <c r="EB100" s="755"/>
      <c r="EC100" s="755"/>
      <c r="ED100" s="755"/>
      <c r="EE100" s="755"/>
      <c r="EF100" s="755" t="b">
        <f t="shared" si="222"/>
        <v>0</v>
      </c>
      <c r="EG100" s="755">
        <f t="shared" si="182"/>
        <v>40.877767996501625</v>
      </c>
      <c r="EH100" s="755">
        <v>79</v>
      </c>
      <c r="EI100" s="755">
        <f t="shared" si="227"/>
        <v>46.5</v>
      </c>
      <c r="EJ100" s="673">
        <f t="shared" si="183"/>
        <v>5.6222320034983753</v>
      </c>
      <c r="EK100" s="673">
        <f t="shared" si="184"/>
        <v>2.2510196371999172</v>
      </c>
      <c r="EL100" s="755" t="b">
        <f t="shared" si="185"/>
        <v>0</v>
      </c>
      <c r="EM100" s="673"/>
      <c r="EN100" s="755">
        <f t="shared" si="186"/>
        <v>5.6222320034983753</v>
      </c>
      <c r="EO100" s="755">
        <f t="shared" si="187"/>
        <v>2.791408544614131E-2</v>
      </c>
      <c r="EP100" s="755">
        <f t="shared" si="188"/>
        <v>1.8670043182309082E-3</v>
      </c>
      <c r="EQ100" s="755">
        <f t="shared" si="189"/>
        <v>5.333792031540459</v>
      </c>
      <c r="ER100" s="755">
        <f t="shared" si="190"/>
        <v>2.6201044771617035</v>
      </c>
      <c r="ES100" s="755">
        <f t="shared" si="191"/>
        <v>4.8929879337086879</v>
      </c>
      <c r="ET100" s="755">
        <f t="shared" si="192"/>
        <v>9.6215195148900339</v>
      </c>
      <c r="EU100" s="755">
        <f t="shared" si="193"/>
        <v>2.5680563556340421</v>
      </c>
      <c r="EV100" s="755">
        <f t="shared" si="194"/>
        <v>3.6504305549082772</v>
      </c>
      <c r="EW100" s="755">
        <f t="shared" si="195"/>
        <v>34.892606807676636</v>
      </c>
      <c r="EX100" s="755">
        <f t="shared" si="196"/>
        <v>5.6563193071375881</v>
      </c>
      <c r="EY100" s="755">
        <f t="shared" si="223"/>
        <v>40.667640793401809</v>
      </c>
      <c r="EZ100" s="755">
        <f t="shared" si="197"/>
        <v>18.485291269728094</v>
      </c>
      <c r="FA100" s="755">
        <f t="shared" si="198"/>
        <v>5.6222320034983753</v>
      </c>
      <c r="FB100" s="755">
        <f t="shared" si="199"/>
        <v>3.9610174559751963</v>
      </c>
      <c r="FC100" s="755"/>
      <c r="FD100" s="755"/>
      <c r="FE100" s="755"/>
      <c r="FF100" s="755"/>
      <c r="FG100" s="755"/>
      <c r="FH100" s="755"/>
      <c r="FI100" s="755"/>
      <c r="FJ100" s="755"/>
      <c r="FK100" s="755" t="b">
        <f t="shared" si="224"/>
        <v>0</v>
      </c>
      <c r="FL100" s="755">
        <f t="shared" si="200"/>
        <v>7.3999370411095509</v>
      </c>
      <c r="FM100" s="755">
        <v>79</v>
      </c>
      <c r="FN100" s="767">
        <f t="shared" si="225"/>
        <v>10.5</v>
      </c>
      <c r="FO100" s="673">
        <f t="shared" si="201"/>
        <v>3.1000629588904496</v>
      </c>
      <c r="FP100" s="673">
        <f t="shared" si="202"/>
        <v>2.2510196371999172</v>
      </c>
      <c r="FQ100" s="766" t="b">
        <f t="shared" si="203"/>
        <v>0</v>
      </c>
      <c r="FR100" s="673"/>
      <c r="FS100" s="767">
        <f t="shared" si="204"/>
        <v>3.1000629588904496</v>
      </c>
      <c r="FT100" s="766">
        <f t="shared" si="205"/>
        <v>0.11999462264096579</v>
      </c>
      <c r="FU100" s="766">
        <f t="shared" si="206"/>
        <v>8.0257144396661644E-3</v>
      </c>
      <c r="FV100" s="766">
        <f t="shared" si="207"/>
        <v>4.6340768993951622</v>
      </c>
      <c r="FW100" s="766">
        <f t="shared" si="208"/>
        <v>2.4413450735635149</v>
      </c>
      <c r="FX100" s="766">
        <f t="shared" si="209"/>
        <v>3.8246248069689806</v>
      </c>
      <c r="FY100" s="766">
        <f t="shared" si="210"/>
        <v>7.5207016072677391</v>
      </c>
      <c r="FZ100" s="766">
        <f t="shared" si="211"/>
        <v>2.114874643203621</v>
      </c>
      <c r="GA100" s="766">
        <f t="shared" si="212"/>
        <v>3.0232145480032706</v>
      </c>
      <c r="GB100" s="766">
        <f t="shared" si="213"/>
        <v>149.99327830120723</v>
      </c>
      <c r="GC100" s="766">
        <f t="shared" si="214"/>
        <v>24.314889416898577</v>
      </c>
      <c r="GD100" s="766">
        <f t="shared" si="215"/>
        <v>9.4604239341342478</v>
      </c>
      <c r="GE100" s="766">
        <f t="shared" si="216"/>
        <v>4.300192697333749</v>
      </c>
      <c r="GF100" s="766">
        <f t="shared" si="217"/>
        <v>4.1974191584553253</v>
      </c>
      <c r="GG100" s="766">
        <f t="shared" si="218"/>
        <v>3.1000629588904496</v>
      </c>
    </row>
    <row r="101" spans="15:189">
      <c r="AN101" s="680" t="b">
        <v>0</v>
      </c>
      <c r="AO101" s="1060" t="s">
        <v>535</v>
      </c>
      <c r="AP101" s="1061"/>
      <c r="AQ101" s="681">
        <f>AQ78*AB7</f>
        <v>6.1687830748250727</v>
      </c>
      <c r="AR101" s="681">
        <f>AR78*AB8</f>
        <v>24.557206990249458</v>
      </c>
      <c r="AS101" s="681">
        <f>AS78*AB9</f>
        <v>6.9214020352336583</v>
      </c>
      <c r="AU101" s="1060" t="s">
        <v>545</v>
      </c>
      <c r="AV101" s="1061"/>
      <c r="AW101" s="695">
        <f>IF((100*(-0.0126+0.01475*Z7))/(1+(-0.0126+0.01475*Z7))&lt;0.5,0.5,(100*(-0.0126+0.01475*Z7))/(1+(-0.0126+0.01475*Z7)))</f>
        <v>2.018664352509878</v>
      </c>
      <c r="AX101" s="695">
        <f>IF((100*(-0.0126+0.01475*Z8))/(1+(-0.0126+0.01475*Z8))&lt;0.5,0.5,(100*(-0.0126+0.01475*Z8))/(1+(-0.0126+0.01475*Z8)))</f>
        <v>25.780467646127843</v>
      </c>
      <c r="AY101" s="696">
        <f>IF((100*(-0.0126+0.01475*Z9))/(1+(-0.0126+0.01475*Z9))&lt;0.5,0.5,(100*(-0.0126+0.01475*Z9))/(1+(-0.0126+0.01475*Z9)))</f>
        <v>31.184295445831442</v>
      </c>
      <c r="AZ101" s="694" t="b">
        <v>1</v>
      </c>
      <c r="BA101" s="1060" t="s">
        <v>575</v>
      </c>
      <c r="BB101" s="1061"/>
      <c r="BC101" s="695">
        <f>(W7/(2.2*((0.956*AQ82+0.037)^0.5)))</f>
        <v>2.3450688288332429</v>
      </c>
      <c r="BD101" s="695">
        <f>W8/(2.2*((0.956*AR82+0.037)^0.5))</f>
        <v>0.6869744725758623</v>
      </c>
      <c r="BE101" s="696">
        <f>W9/(2.2*((0.956*AS82+0.037)^0.5))</f>
        <v>4.1427811593844721</v>
      </c>
      <c r="BY101" s="753" t="b">
        <f t="shared" si="219"/>
        <v>0</v>
      </c>
      <c r="BZ101" s="753">
        <f t="shared" si="148"/>
        <v>41.360904186539905</v>
      </c>
      <c r="CA101" s="751">
        <v>80</v>
      </c>
      <c r="CB101" s="752">
        <f t="shared" si="226"/>
        <v>47</v>
      </c>
      <c r="CC101" s="673">
        <f t="shared" si="149"/>
        <v>5.6390958134600959</v>
      </c>
      <c r="CD101" s="91">
        <f t="shared" si="150"/>
        <v>2</v>
      </c>
      <c r="CE101" s="752" t="b">
        <f t="shared" si="151"/>
        <v>0</v>
      </c>
      <c r="CF101" s="673"/>
      <c r="CG101" s="752">
        <f t="shared" si="152"/>
        <v>5.6390958134600959</v>
      </c>
      <c r="CH101" s="752">
        <f t="shared" si="153"/>
        <v>2.7623035185372718E-2</v>
      </c>
      <c r="CI101" s="752">
        <f t="shared" si="154"/>
        <v>1.8475377269028261E-3</v>
      </c>
      <c r="CJ101" s="755">
        <f t="shared" si="155"/>
        <v>5.3364524843478645</v>
      </c>
      <c r="CK101" s="755">
        <f t="shared" si="156"/>
        <v>2.620733303258632</v>
      </c>
      <c r="CL101" s="755">
        <f t="shared" si="157"/>
        <v>4.9058260670835239</v>
      </c>
      <c r="CM101" s="755">
        <f t="shared" si="158"/>
        <v>9.6467642840319705</v>
      </c>
      <c r="CN101" s="755">
        <f t="shared" si="159"/>
        <v>2.5716068357870152</v>
      </c>
      <c r="CO101" s="755">
        <f t="shared" si="160"/>
        <v>3.655352815464652</v>
      </c>
      <c r="CP101" s="755">
        <f t="shared" si="144"/>
        <v>34.5287939817159</v>
      </c>
      <c r="CQ101" s="755">
        <f t="shared" si="161"/>
        <v>5.5973428734475359</v>
      </c>
      <c r="CR101" s="755">
        <f t="shared" si="145"/>
        <v>41.096135612248894</v>
      </c>
      <c r="CS101" s="755">
        <f t="shared" si="162"/>
        <v>18.680061641931314</v>
      </c>
      <c r="CT101" s="755">
        <f t="shared" si="146"/>
        <v>5.6390958134600959</v>
      </c>
      <c r="CU101" s="755">
        <f t="shared" si="147"/>
        <v>3.9677135483915569</v>
      </c>
      <c r="CX101" s="755"/>
      <c r="CY101" s="755"/>
      <c r="CZ101" s="755"/>
      <c r="DA101" s="755"/>
      <c r="DB101" s="755"/>
      <c r="DC101" s="755"/>
      <c r="DD101" s="755" t="b">
        <f t="shared" si="220"/>
        <v>0</v>
      </c>
      <c r="DE101" s="755">
        <f t="shared" si="163"/>
        <v>6.438823690501831</v>
      </c>
      <c r="DF101" s="755">
        <v>80</v>
      </c>
      <c r="DG101" s="755">
        <f t="shared" si="221"/>
        <v>10</v>
      </c>
      <c r="DH101" s="673">
        <f t="shared" si="164"/>
        <v>3.5611763094981694</v>
      </c>
      <c r="DI101" s="673">
        <f t="shared" si="165"/>
        <v>2</v>
      </c>
      <c r="DJ101" s="766" t="b">
        <f t="shared" si="166"/>
        <v>0</v>
      </c>
      <c r="DK101" s="673"/>
      <c r="DL101" s="766">
        <f t="shared" si="167"/>
        <v>3.5611763094981694</v>
      </c>
      <c r="DM101" s="766">
        <f t="shared" si="168"/>
        <v>0.12587146803481825</v>
      </c>
      <c r="DN101" s="766">
        <f t="shared" si="169"/>
        <v>8.4187810779792135E-3</v>
      </c>
      <c r="DO101" s="766">
        <f t="shared" si="170"/>
        <v>4.5972173138530579</v>
      </c>
      <c r="DP101" s="766">
        <f t="shared" si="171"/>
        <v>2.4311414875077828</v>
      </c>
      <c r="DQ101" s="766">
        <f t="shared" si="172"/>
        <v>3.3577485583965005</v>
      </c>
      <c r="DR101" s="766">
        <f t="shared" si="173"/>
        <v>6.6026411097684186</v>
      </c>
      <c r="DS101" s="766">
        <f t="shared" si="174"/>
        <v>2.1013026426164578</v>
      </c>
      <c r="DT101" s="766">
        <f t="shared" si="175"/>
        <v>3.0044666224597925</v>
      </c>
      <c r="DU101" s="766">
        <f t="shared" si="176"/>
        <v>157.33933504352279</v>
      </c>
      <c r="DV101" s="766">
        <f t="shared" si="177"/>
        <v>25.505733162449459</v>
      </c>
      <c r="DW101" s="766">
        <f t="shared" si="178"/>
        <v>9.0187237641971709</v>
      </c>
      <c r="DX101" s="766">
        <f t="shared" si="179"/>
        <v>4.0994198928168952</v>
      </c>
      <c r="DY101" s="766">
        <f t="shared" si="180"/>
        <v>3.5611763094981694</v>
      </c>
      <c r="DZ101" s="766">
        <f t="shared" si="181"/>
        <v>3.0740907660408299</v>
      </c>
      <c r="EB101" s="755"/>
      <c r="EC101" s="755"/>
      <c r="ED101" s="755"/>
      <c r="EE101" s="755"/>
      <c r="EF101" s="755" t="b">
        <f t="shared" si="222"/>
        <v>0</v>
      </c>
      <c r="EG101" s="755">
        <f t="shared" si="182"/>
        <v>41.360904186539905</v>
      </c>
      <c r="EH101" s="755">
        <v>80</v>
      </c>
      <c r="EI101" s="755">
        <f t="shared" si="227"/>
        <v>47</v>
      </c>
      <c r="EJ101" s="673">
        <f t="shared" si="183"/>
        <v>5.6390958134600959</v>
      </c>
      <c r="EK101" s="673">
        <f t="shared" si="184"/>
        <v>2.2510196371999172</v>
      </c>
      <c r="EL101" s="755" t="b">
        <f t="shared" si="185"/>
        <v>0</v>
      </c>
      <c r="EM101" s="673"/>
      <c r="EN101" s="755">
        <f t="shared" si="186"/>
        <v>5.6390958134600959</v>
      </c>
      <c r="EO101" s="755">
        <f t="shared" si="187"/>
        <v>2.7623035185372718E-2</v>
      </c>
      <c r="EP101" s="755">
        <f t="shared" si="188"/>
        <v>1.8475377269028261E-3</v>
      </c>
      <c r="EQ101" s="755">
        <f t="shared" si="189"/>
        <v>5.3364524843478645</v>
      </c>
      <c r="ER101" s="755">
        <f t="shared" si="190"/>
        <v>2.620733303258632</v>
      </c>
      <c r="ES101" s="755">
        <f t="shared" si="191"/>
        <v>4.9058260670835239</v>
      </c>
      <c r="ET101" s="755">
        <f t="shared" si="192"/>
        <v>9.6467642840319705</v>
      </c>
      <c r="EU101" s="755">
        <f t="shared" si="193"/>
        <v>2.5716068357870152</v>
      </c>
      <c r="EV101" s="755">
        <f t="shared" si="194"/>
        <v>3.655352815464652</v>
      </c>
      <c r="EW101" s="755">
        <f t="shared" si="195"/>
        <v>34.5287939817159</v>
      </c>
      <c r="EX101" s="755">
        <f t="shared" si="196"/>
        <v>5.5973428734475359</v>
      </c>
      <c r="EY101" s="755">
        <f t="shared" si="223"/>
        <v>41.096135612248894</v>
      </c>
      <c r="EZ101" s="755">
        <f t="shared" si="197"/>
        <v>18.680061641931314</v>
      </c>
      <c r="FA101" s="755">
        <f t="shared" si="198"/>
        <v>5.6390958134600959</v>
      </c>
      <c r="FB101" s="755">
        <f t="shared" si="199"/>
        <v>3.9677135483915569</v>
      </c>
      <c r="FC101" s="755"/>
      <c r="FD101" s="755"/>
      <c r="FE101" s="755"/>
      <c r="FF101" s="755"/>
      <c r="FG101" s="755"/>
      <c r="FH101" s="755"/>
      <c r="FI101" s="755"/>
      <c r="FJ101" s="755"/>
      <c r="FK101" s="755" t="b">
        <f t="shared" si="224"/>
        <v>0</v>
      </c>
      <c r="FL101" s="755">
        <f t="shared" si="200"/>
        <v>6.9259092339591701</v>
      </c>
      <c r="FM101" s="755">
        <v>80</v>
      </c>
      <c r="FN101" s="767">
        <f t="shared" si="225"/>
        <v>10</v>
      </c>
      <c r="FO101" s="673">
        <f t="shared" si="201"/>
        <v>3.0740907660408299</v>
      </c>
      <c r="FP101" s="673">
        <f t="shared" si="202"/>
        <v>2.2510196371999172</v>
      </c>
      <c r="FQ101" s="766" t="b">
        <f t="shared" si="203"/>
        <v>0</v>
      </c>
      <c r="FR101" s="673"/>
      <c r="FS101" s="767">
        <f t="shared" si="204"/>
        <v>3.0740907660408299</v>
      </c>
      <c r="FT101" s="766">
        <f t="shared" si="205"/>
        <v>0.12587146803481825</v>
      </c>
      <c r="FU101" s="766">
        <f t="shared" si="206"/>
        <v>8.4187810779792135E-3</v>
      </c>
      <c r="FV101" s="766">
        <f t="shared" si="207"/>
        <v>4.5972173138530579</v>
      </c>
      <c r="FW101" s="766">
        <f t="shared" si="208"/>
        <v>2.4311414875077828</v>
      </c>
      <c r="FX101" s="766">
        <f t="shared" si="209"/>
        <v>3.7791789708651176</v>
      </c>
      <c r="FY101" s="766">
        <f t="shared" si="210"/>
        <v>7.4313373977360824</v>
      </c>
      <c r="FZ101" s="766">
        <f t="shared" si="211"/>
        <v>2.1013026426164578</v>
      </c>
      <c r="GA101" s="766">
        <f t="shared" si="212"/>
        <v>3.0044666224597925</v>
      </c>
      <c r="GB101" s="766">
        <f t="shared" si="213"/>
        <v>157.33933504352279</v>
      </c>
      <c r="GC101" s="766">
        <f t="shared" si="214"/>
        <v>25.505733162449459</v>
      </c>
      <c r="GD101" s="766">
        <f t="shared" si="215"/>
        <v>9.0187237641971709</v>
      </c>
      <c r="GE101" s="766">
        <f t="shared" si="216"/>
        <v>4.0994198928168952</v>
      </c>
      <c r="GF101" s="766">
        <f t="shared" si="217"/>
        <v>4.1358561939385172</v>
      </c>
      <c r="GG101" s="766">
        <f t="shared" si="218"/>
        <v>3.0740907660408299</v>
      </c>
    </row>
    <row r="102" spans="15:189" ht="15" thickBot="1">
      <c r="AN102" s="680" t="b">
        <v>0</v>
      </c>
      <c r="AO102" s="1060" t="s">
        <v>536</v>
      </c>
      <c r="AP102" s="1061"/>
      <c r="AQ102" s="78">
        <f>AQ82*(2.65*(W7/0.03)^0.5-1.35)</f>
        <v>0.17853822722220389</v>
      </c>
      <c r="AR102" s="78">
        <f>AR82*(2.65*(W8/0.03)^0.5-1.35)</f>
        <v>0.33629510653000666</v>
      </c>
      <c r="AS102" s="78">
        <f>AS82*(2.65*(W9/0.03)^0.5-1.35)</f>
        <v>0.25156562681783134</v>
      </c>
      <c r="AU102" s="1060" t="s">
        <v>612</v>
      </c>
      <c r="AV102" s="1061"/>
      <c r="AW102" s="698">
        <f>X7*((1/AQ102)^0.25)</f>
        <v>3.0767852940185634</v>
      </c>
      <c r="AX102" s="698">
        <f>X8*((1/AR102)^0.25)</f>
        <v>24.9501674095997</v>
      </c>
      <c r="AY102" s="698">
        <f>X9*((1/AS102)^0.25)</f>
        <v>36.712209493733241</v>
      </c>
      <c r="AZ102" s="694" t="b">
        <v>1</v>
      </c>
      <c r="BA102" s="1062" t="s">
        <v>542</v>
      </c>
      <c r="BB102" s="1063"/>
      <c r="BC102" s="694"/>
      <c r="BD102" s="694"/>
      <c r="BE102" s="694"/>
      <c r="BY102" s="753" t="b">
        <f t="shared" si="219"/>
        <v>0</v>
      </c>
      <c r="BZ102" s="753">
        <f t="shared" si="148"/>
        <v>41.84418123966276</v>
      </c>
      <c r="CA102" s="751">
        <v>81</v>
      </c>
      <c r="CB102" s="752">
        <f t="shared" si="226"/>
        <v>47.5</v>
      </c>
      <c r="CC102" s="673">
        <f t="shared" si="149"/>
        <v>5.6558187603372367</v>
      </c>
      <c r="CD102" s="91">
        <f t="shared" si="150"/>
        <v>2</v>
      </c>
      <c r="CE102" s="752" t="b">
        <f t="shared" si="151"/>
        <v>0</v>
      </c>
      <c r="CF102" s="673"/>
      <c r="CG102" s="752">
        <f t="shared" si="152"/>
        <v>5.6558187603372367</v>
      </c>
      <c r="CH102" s="752">
        <f t="shared" si="153"/>
        <v>2.7338051666754681E-2</v>
      </c>
      <c r="CI102" s="752">
        <f t="shared" si="154"/>
        <v>1.828476903258394E-3</v>
      </c>
      <c r="CJ102" s="755">
        <f t="shared" si="155"/>
        <v>5.339060827576712</v>
      </c>
      <c r="CK102" s="755">
        <f t="shared" si="156"/>
        <v>2.6213494608136707</v>
      </c>
      <c r="CL102" s="755">
        <f t="shared" si="157"/>
        <v>4.918561496003945</v>
      </c>
      <c r="CM102" s="755">
        <f t="shared" si="158"/>
        <v>9.6718070962253453</v>
      </c>
      <c r="CN102" s="755">
        <f t="shared" si="159"/>
        <v>2.5751241271154957</v>
      </c>
      <c r="CO102" s="755">
        <f t="shared" si="160"/>
        <v>3.6602291779587173</v>
      </c>
      <c r="CP102" s="755">
        <f t="shared" si="144"/>
        <v>34.172564583443354</v>
      </c>
      <c r="CQ102" s="755">
        <f t="shared" si="161"/>
        <v>5.5395957628826782</v>
      </c>
      <c r="CR102" s="755">
        <f t="shared" si="145"/>
        <v>41.524539269947191</v>
      </c>
      <c r="CS102" s="755">
        <f t="shared" si="162"/>
        <v>18.874790577248721</v>
      </c>
      <c r="CT102" s="755">
        <f t="shared" si="146"/>
        <v>5.6558187603372367</v>
      </c>
      <c r="CU102" s="755">
        <f t="shared" si="147"/>
        <v>3.9743462818349871</v>
      </c>
      <c r="CX102" s="755"/>
      <c r="CY102" s="755"/>
      <c r="CZ102" s="755"/>
      <c r="DA102" s="755"/>
      <c r="DB102" s="755"/>
      <c r="DC102" s="755"/>
      <c r="DD102" s="755" t="b">
        <f t="shared" si="220"/>
        <v>0</v>
      </c>
      <c r="DE102" s="755">
        <f t="shared" si="163"/>
        <v>5.9963814394875765</v>
      </c>
      <c r="DF102" s="755">
        <v>81</v>
      </c>
      <c r="DG102" s="755">
        <f t="shared" si="221"/>
        <v>9.5</v>
      </c>
      <c r="DH102" s="673">
        <f t="shared" si="164"/>
        <v>3.503618560512423</v>
      </c>
      <c r="DI102" s="673">
        <f t="shared" si="165"/>
        <v>2</v>
      </c>
      <c r="DJ102" s="766" t="b">
        <f t="shared" si="166"/>
        <v>0</v>
      </c>
      <c r="DK102" s="673"/>
      <c r="DL102" s="766">
        <f t="shared" si="167"/>
        <v>3.503618560512423</v>
      </c>
      <c r="DM102" s="766">
        <f t="shared" si="168"/>
        <v>0.13236042842157381</v>
      </c>
      <c r="DN102" s="766">
        <f t="shared" si="169"/>
        <v>8.8527883853752234E-3</v>
      </c>
      <c r="DO102" s="766">
        <f t="shared" si="170"/>
        <v>4.5573919224527328</v>
      </c>
      <c r="DP102" s="766">
        <f t="shared" si="171"/>
        <v>2.4200224082132031</v>
      </c>
      <c r="DQ102" s="766">
        <f t="shared" si="172"/>
        <v>3.3158162425610698</v>
      </c>
      <c r="DR102" s="766">
        <f t="shared" si="173"/>
        <v>6.5201858491830258</v>
      </c>
      <c r="DS102" s="766">
        <f t="shared" si="174"/>
        <v>2.0871167366007546</v>
      </c>
      <c r="DT102" s="766">
        <f t="shared" si="175"/>
        <v>2.9848731526174066</v>
      </c>
      <c r="DU102" s="766">
        <f t="shared" si="176"/>
        <v>165.45053552696726</v>
      </c>
      <c r="DV102" s="766">
        <f t="shared" si="177"/>
        <v>26.82061170252107</v>
      </c>
      <c r="DW102" s="766">
        <f t="shared" si="178"/>
        <v>8.576581486910408</v>
      </c>
      <c r="DX102" s="766">
        <f t="shared" si="179"/>
        <v>3.8984461304138214</v>
      </c>
      <c r="DY102" s="766">
        <f t="shared" si="180"/>
        <v>3.503618560512423</v>
      </c>
      <c r="DZ102" s="766">
        <f t="shared" si="181"/>
        <v>3.0469323265593338</v>
      </c>
      <c r="EB102" s="755"/>
      <c r="EC102" s="755"/>
      <c r="ED102" s="755"/>
      <c r="EE102" s="755"/>
      <c r="EF102" s="755" t="b">
        <f t="shared" si="222"/>
        <v>0</v>
      </c>
      <c r="EG102" s="755">
        <f t="shared" si="182"/>
        <v>41.84418123966276</v>
      </c>
      <c r="EH102" s="755">
        <v>81</v>
      </c>
      <c r="EI102" s="755">
        <f t="shared" si="227"/>
        <v>47.5</v>
      </c>
      <c r="EJ102" s="673">
        <f t="shared" si="183"/>
        <v>5.6558187603372367</v>
      </c>
      <c r="EK102" s="673">
        <f t="shared" si="184"/>
        <v>2.2510196371999172</v>
      </c>
      <c r="EL102" s="755" t="b">
        <f t="shared" si="185"/>
        <v>0</v>
      </c>
      <c r="EM102" s="673"/>
      <c r="EN102" s="755">
        <f t="shared" si="186"/>
        <v>5.6558187603372367</v>
      </c>
      <c r="EO102" s="755">
        <f t="shared" si="187"/>
        <v>2.7338051666754681E-2</v>
      </c>
      <c r="EP102" s="755">
        <f t="shared" si="188"/>
        <v>1.828476903258394E-3</v>
      </c>
      <c r="EQ102" s="755">
        <f t="shared" si="189"/>
        <v>5.339060827576712</v>
      </c>
      <c r="ER102" s="755">
        <f t="shared" si="190"/>
        <v>2.6213494608136707</v>
      </c>
      <c r="ES102" s="755">
        <f t="shared" si="191"/>
        <v>4.918561496003945</v>
      </c>
      <c r="ET102" s="755">
        <f t="shared" si="192"/>
        <v>9.6718070962253453</v>
      </c>
      <c r="EU102" s="755">
        <f t="shared" si="193"/>
        <v>2.5751241271154957</v>
      </c>
      <c r="EV102" s="755">
        <f t="shared" si="194"/>
        <v>3.6602291779587173</v>
      </c>
      <c r="EW102" s="755">
        <f t="shared" si="195"/>
        <v>34.172564583443354</v>
      </c>
      <c r="EX102" s="755">
        <f t="shared" si="196"/>
        <v>5.5395957628826782</v>
      </c>
      <c r="EY102" s="755">
        <f t="shared" si="223"/>
        <v>41.524539269947191</v>
      </c>
      <c r="EZ102" s="755">
        <f t="shared" si="197"/>
        <v>18.874790577248721</v>
      </c>
      <c r="FA102" s="755">
        <f t="shared" si="198"/>
        <v>5.6558187603372367</v>
      </c>
      <c r="FB102" s="755">
        <f t="shared" si="199"/>
        <v>3.9743462818349871</v>
      </c>
      <c r="FC102" s="755"/>
      <c r="FD102" s="755"/>
      <c r="FE102" s="755"/>
      <c r="FF102" s="755"/>
      <c r="FG102" s="755"/>
      <c r="FH102" s="755"/>
      <c r="FI102" s="755"/>
      <c r="FJ102" s="755"/>
      <c r="FK102" s="755" t="b">
        <f t="shared" si="224"/>
        <v>0</v>
      </c>
      <c r="FL102" s="755">
        <f t="shared" si="200"/>
        <v>6.4530676734406658</v>
      </c>
      <c r="FM102" s="755">
        <v>81</v>
      </c>
      <c r="FN102" s="767">
        <f t="shared" si="225"/>
        <v>9.5</v>
      </c>
      <c r="FO102" s="673">
        <f t="shared" si="201"/>
        <v>3.0469323265593338</v>
      </c>
      <c r="FP102" s="673">
        <f t="shared" si="202"/>
        <v>2.2510196371999172</v>
      </c>
      <c r="FQ102" s="766" t="b">
        <f t="shared" si="203"/>
        <v>0</v>
      </c>
      <c r="FR102" s="673"/>
      <c r="FS102" s="767">
        <f t="shared" si="204"/>
        <v>3.0469323265593338</v>
      </c>
      <c r="FT102" s="766">
        <f t="shared" si="205"/>
        <v>0.13236042842157381</v>
      </c>
      <c r="FU102" s="766">
        <f t="shared" si="206"/>
        <v>8.8527883853752234E-3</v>
      </c>
      <c r="FV102" s="766">
        <f t="shared" si="207"/>
        <v>4.5573919224527328</v>
      </c>
      <c r="FW102" s="766">
        <f t="shared" si="208"/>
        <v>2.4200224082132031</v>
      </c>
      <c r="FX102" s="766">
        <f t="shared" si="209"/>
        <v>3.7319837376757059</v>
      </c>
      <c r="FY102" s="766">
        <f t="shared" si="210"/>
        <v>7.3385331923520045</v>
      </c>
      <c r="FZ102" s="766">
        <f t="shared" si="211"/>
        <v>2.0871167366007546</v>
      </c>
      <c r="GA102" s="766">
        <f t="shared" si="212"/>
        <v>2.9848731526174066</v>
      </c>
      <c r="GB102" s="766">
        <f t="shared" si="213"/>
        <v>165.45053552696726</v>
      </c>
      <c r="GC102" s="766">
        <f t="shared" si="214"/>
        <v>26.82061170252107</v>
      </c>
      <c r="GD102" s="766">
        <f t="shared" si="215"/>
        <v>8.576581486910408</v>
      </c>
      <c r="GE102" s="766">
        <f t="shared" si="216"/>
        <v>3.8984461304138214</v>
      </c>
      <c r="GF102" s="766">
        <f t="shared" si="217"/>
        <v>4.0718396136982653</v>
      </c>
      <c r="GG102" s="766">
        <f t="shared" si="218"/>
        <v>3.0469323265593338</v>
      </c>
    </row>
    <row r="103" spans="15:189">
      <c r="AN103" s="680" t="b">
        <v>0</v>
      </c>
      <c r="AO103" s="1060" t="s">
        <v>537</v>
      </c>
      <c r="AP103" s="1061"/>
      <c r="AQ103" s="681">
        <f>AQ102*(AB7+AC7)</f>
        <v>223.17278402775486</v>
      </c>
      <c r="AR103" s="681">
        <f>AR102*(AB8+AC8)</f>
        <v>472.15832956812937</v>
      </c>
      <c r="AS103" s="681">
        <f>AS102*(AB9+AC9)</f>
        <v>353.1981400522352</v>
      </c>
      <c r="AU103" s="1060" t="s">
        <v>613</v>
      </c>
      <c r="AV103" s="1061"/>
      <c r="AW103" s="86">
        <f>BA60</f>
        <v>2.0043782108714843</v>
      </c>
      <c r="AX103" s="86">
        <f>BB60</f>
        <v>20.959510330006871</v>
      </c>
      <c r="AY103" s="86">
        <f>BC60</f>
        <v>25.535754712601655</v>
      </c>
      <c r="AZ103" s="694"/>
      <c r="BA103" s="694"/>
      <c r="BB103" s="694"/>
      <c r="BC103" s="694"/>
      <c r="BD103" s="694"/>
      <c r="BE103" s="694"/>
      <c r="BY103" s="753" t="b">
        <f t="shared" si="219"/>
        <v>0</v>
      </c>
      <c r="BZ103" s="753">
        <f t="shared" si="148"/>
        <v>42.327596529003756</v>
      </c>
      <c r="CA103" s="751">
        <v>82</v>
      </c>
      <c r="CB103" s="752">
        <f t="shared" si="226"/>
        <v>48</v>
      </c>
      <c r="CC103" s="673">
        <f t="shared" si="149"/>
        <v>5.6724034709962403</v>
      </c>
      <c r="CD103" s="91">
        <f t="shared" si="150"/>
        <v>2</v>
      </c>
      <c r="CE103" s="752" t="b">
        <f t="shared" si="151"/>
        <v>0</v>
      </c>
      <c r="CF103" s="673"/>
      <c r="CG103" s="752">
        <f t="shared" si="152"/>
        <v>5.6724034709962403</v>
      </c>
      <c r="CH103" s="752">
        <f t="shared" si="153"/>
        <v>2.7058946548742975E-2</v>
      </c>
      <c r="CI103" s="752">
        <f t="shared" si="154"/>
        <v>1.8098092502710297E-3</v>
      </c>
      <c r="CJ103" s="755">
        <f t="shared" si="155"/>
        <v>5.3416185834518677</v>
      </c>
      <c r="CK103" s="755">
        <f t="shared" si="156"/>
        <v>2.6219533302211691</v>
      </c>
      <c r="CL103" s="755">
        <f t="shared" si="157"/>
        <v>4.9311961103499984</v>
      </c>
      <c r="CM103" s="755">
        <f t="shared" si="158"/>
        <v>9.6966516677102241</v>
      </c>
      <c r="CN103" s="755">
        <f t="shared" si="159"/>
        <v>2.5786088847201833</v>
      </c>
      <c r="CO103" s="755">
        <f t="shared" si="160"/>
        <v>3.6650605471627702</v>
      </c>
      <c r="CP103" s="755">
        <f t="shared" si="144"/>
        <v>33.823683185928722</v>
      </c>
      <c r="CQ103" s="755">
        <f t="shared" si="161"/>
        <v>5.4830398112009888</v>
      </c>
      <c r="CR103" s="755">
        <f t="shared" si="145"/>
        <v>41.952852745212866</v>
      </c>
      <c r="CS103" s="755">
        <f t="shared" si="162"/>
        <v>19.0694785205513</v>
      </c>
      <c r="CT103" s="755">
        <f t="shared" si="146"/>
        <v>5.6724034709962403</v>
      </c>
      <c r="CU103" s="755">
        <f t="shared" si="147"/>
        <v>3.9809169127678148</v>
      </c>
      <c r="CX103" s="755"/>
      <c r="CY103" s="755"/>
      <c r="CZ103" s="755"/>
      <c r="DA103" s="755"/>
      <c r="DB103" s="755"/>
      <c r="DC103" s="755"/>
      <c r="DD103" s="755" t="b">
        <f t="shared" si="220"/>
        <v>0</v>
      </c>
      <c r="DE103" s="755">
        <f t="shared" si="163"/>
        <v>5.5563469043171931</v>
      </c>
      <c r="DF103" s="755">
        <v>82</v>
      </c>
      <c r="DG103" s="755">
        <f t="shared" si="221"/>
        <v>9</v>
      </c>
      <c r="DH103" s="673">
        <f t="shared" si="164"/>
        <v>3.4436530956828064</v>
      </c>
      <c r="DI103" s="673">
        <f t="shared" si="165"/>
        <v>2</v>
      </c>
      <c r="DJ103" s="766" t="b">
        <f t="shared" si="166"/>
        <v>0</v>
      </c>
      <c r="DK103" s="673"/>
      <c r="DL103" s="766">
        <f t="shared" si="167"/>
        <v>3.4436530956828064</v>
      </c>
      <c r="DM103" s="766">
        <f t="shared" si="168"/>
        <v>0.13956278848757492</v>
      </c>
      <c r="DN103" s="766">
        <f t="shared" si="169"/>
        <v>9.3345106818345808E-3</v>
      </c>
      <c r="DO103" s="766">
        <f t="shared" si="170"/>
        <v>4.5142227546731943</v>
      </c>
      <c r="DP103" s="766">
        <f t="shared" si="171"/>
        <v>2.4078577702337043</v>
      </c>
      <c r="DQ103" s="766">
        <f t="shared" si="172"/>
        <v>3.272183015911788</v>
      </c>
      <c r="DR103" s="766">
        <f t="shared" si="173"/>
        <v>6.434385935635011</v>
      </c>
      <c r="DS103" s="766">
        <f t="shared" si="174"/>
        <v>2.0722545077193915</v>
      </c>
      <c r="DT103" s="766">
        <f t="shared" si="175"/>
        <v>2.9643482983899454</v>
      </c>
      <c r="DU103" s="766">
        <f t="shared" si="176"/>
        <v>174.45348560946866</v>
      </c>
      <c r="DV103" s="766">
        <f t="shared" si="177"/>
        <v>28.280048673038419</v>
      </c>
      <c r="DW103" s="766">
        <f t="shared" si="178"/>
        <v>8.133973334167548</v>
      </c>
      <c r="DX103" s="766">
        <f t="shared" si="179"/>
        <v>3.6972606064397944</v>
      </c>
      <c r="DY103" s="766">
        <f t="shared" si="180"/>
        <v>3.4436530956828064</v>
      </c>
      <c r="DZ103" s="766">
        <f t="shared" si="181"/>
        <v>3.018466571803279</v>
      </c>
      <c r="EB103" s="755"/>
      <c r="EC103" s="755"/>
      <c r="ED103" s="755"/>
      <c r="EE103" s="755"/>
      <c r="EF103" s="755" t="b">
        <f t="shared" si="222"/>
        <v>0</v>
      </c>
      <c r="EG103" s="755">
        <f t="shared" si="182"/>
        <v>42.327596529003756</v>
      </c>
      <c r="EH103" s="755">
        <v>82</v>
      </c>
      <c r="EI103" s="755">
        <f t="shared" si="227"/>
        <v>48</v>
      </c>
      <c r="EJ103" s="673">
        <f t="shared" si="183"/>
        <v>5.6724034709962403</v>
      </c>
      <c r="EK103" s="673">
        <f t="shared" si="184"/>
        <v>2.2510196371999172</v>
      </c>
      <c r="EL103" s="755" t="b">
        <f t="shared" si="185"/>
        <v>0</v>
      </c>
      <c r="EM103" s="673"/>
      <c r="EN103" s="755">
        <f t="shared" si="186"/>
        <v>5.6724034709962403</v>
      </c>
      <c r="EO103" s="755">
        <f t="shared" si="187"/>
        <v>2.7058946548742975E-2</v>
      </c>
      <c r="EP103" s="755">
        <f t="shared" si="188"/>
        <v>1.8098092502710297E-3</v>
      </c>
      <c r="EQ103" s="755">
        <f t="shared" si="189"/>
        <v>5.3416185834518677</v>
      </c>
      <c r="ER103" s="755">
        <f t="shared" si="190"/>
        <v>2.6219533302211691</v>
      </c>
      <c r="ES103" s="755">
        <f t="shared" si="191"/>
        <v>4.9311961103499984</v>
      </c>
      <c r="ET103" s="755">
        <f t="shared" si="192"/>
        <v>9.6966516677102241</v>
      </c>
      <c r="EU103" s="755">
        <f t="shared" si="193"/>
        <v>2.5786088847201833</v>
      </c>
      <c r="EV103" s="755">
        <f t="shared" si="194"/>
        <v>3.6650605471627702</v>
      </c>
      <c r="EW103" s="755">
        <f t="shared" si="195"/>
        <v>33.823683185928722</v>
      </c>
      <c r="EX103" s="755">
        <f t="shared" si="196"/>
        <v>5.4830398112009888</v>
      </c>
      <c r="EY103" s="755">
        <f t="shared" si="223"/>
        <v>41.952852745212866</v>
      </c>
      <c r="EZ103" s="755">
        <f t="shared" si="197"/>
        <v>19.0694785205513</v>
      </c>
      <c r="FA103" s="755">
        <f t="shared" si="198"/>
        <v>5.6724034709962403</v>
      </c>
      <c r="FB103" s="755">
        <f t="shared" si="199"/>
        <v>3.9809169127678148</v>
      </c>
      <c r="FC103" s="755"/>
      <c r="FD103" s="755"/>
      <c r="FE103" s="755"/>
      <c r="FF103" s="755"/>
      <c r="FG103" s="755"/>
      <c r="FH103" s="755"/>
      <c r="FI103" s="755"/>
      <c r="FJ103" s="755"/>
      <c r="FK103" s="755" t="b">
        <f t="shared" si="224"/>
        <v>0</v>
      </c>
      <c r="FL103" s="755">
        <f t="shared" si="200"/>
        <v>5.9815334281967214</v>
      </c>
      <c r="FM103" s="755">
        <v>82</v>
      </c>
      <c r="FN103" s="767">
        <f t="shared" si="225"/>
        <v>9</v>
      </c>
      <c r="FO103" s="673">
        <f t="shared" si="201"/>
        <v>3.018466571803279</v>
      </c>
      <c r="FP103" s="673">
        <f t="shared" si="202"/>
        <v>2.2510196371999172</v>
      </c>
      <c r="FQ103" s="766" t="b">
        <f t="shared" si="203"/>
        <v>0</v>
      </c>
      <c r="FR103" s="673"/>
      <c r="FS103" s="767">
        <f t="shared" si="204"/>
        <v>3.018466571803279</v>
      </c>
      <c r="FT103" s="766">
        <f t="shared" si="205"/>
        <v>0.13956278848757492</v>
      </c>
      <c r="FU103" s="766">
        <f t="shared" si="206"/>
        <v>9.3345106818345808E-3</v>
      </c>
      <c r="FV103" s="766">
        <f t="shared" si="207"/>
        <v>4.5142227546731943</v>
      </c>
      <c r="FW103" s="766">
        <f t="shared" si="208"/>
        <v>2.4078577702337043</v>
      </c>
      <c r="FX103" s="766">
        <f t="shared" si="209"/>
        <v>3.682874112664742</v>
      </c>
      <c r="FY103" s="766">
        <f t="shared" si="210"/>
        <v>7.2419645472186858</v>
      </c>
      <c r="FZ103" s="766">
        <f t="shared" si="211"/>
        <v>2.0722545077193915</v>
      </c>
      <c r="GA103" s="766">
        <f t="shared" si="212"/>
        <v>2.9643482983899454</v>
      </c>
      <c r="GB103" s="766">
        <f t="shared" si="213"/>
        <v>174.45348560946866</v>
      </c>
      <c r="GC103" s="766">
        <f t="shared" si="214"/>
        <v>28.280048673038419</v>
      </c>
      <c r="GD103" s="766">
        <f t="shared" si="215"/>
        <v>8.133973334167548</v>
      </c>
      <c r="GE103" s="766">
        <f t="shared" si="216"/>
        <v>3.6972606064397944</v>
      </c>
      <c r="GF103" s="766">
        <f t="shared" si="217"/>
        <v>4.0051354790569853</v>
      </c>
      <c r="GG103" s="766">
        <f t="shared" si="218"/>
        <v>3.018466571803279</v>
      </c>
    </row>
    <row r="104" spans="15:189" ht="15" thickBot="1">
      <c r="AN104" s="680" t="b">
        <v>0</v>
      </c>
      <c r="AO104" s="1062" t="s">
        <v>618</v>
      </c>
      <c r="AP104" s="1063"/>
      <c r="AQ104" s="682">
        <f>AQ103/AQ101</f>
        <v>36.177764936900999</v>
      </c>
      <c r="AR104" s="682">
        <f>AR103/AR101</f>
        <v>19.22687420257531</v>
      </c>
      <c r="AS104" s="682">
        <f>AS103/AS101</f>
        <v>51.029854681792322</v>
      </c>
      <c r="AU104" s="1062"/>
      <c r="AV104" s="1063"/>
      <c r="AW104" s="694"/>
      <c r="AX104" s="694"/>
      <c r="AY104" s="694"/>
      <c r="AZ104" s="694"/>
      <c r="BA104" s="694"/>
      <c r="BB104" s="694"/>
      <c r="BC104" s="694"/>
      <c r="BD104" s="694"/>
      <c r="BE104" s="694"/>
      <c r="BY104" s="753" t="b">
        <f t="shared" si="219"/>
        <v>0</v>
      </c>
      <c r="BZ104" s="753">
        <f t="shared" si="148"/>
        <v>42.81114750334411</v>
      </c>
      <c r="CA104" s="751">
        <v>83</v>
      </c>
      <c r="CB104" s="752">
        <f t="shared" si="226"/>
        <v>48.5</v>
      </c>
      <c r="CC104" s="673">
        <f t="shared" si="149"/>
        <v>5.6888524966558913</v>
      </c>
      <c r="CD104" s="91">
        <f t="shared" si="150"/>
        <v>2</v>
      </c>
      <c r="CE104" s="752" t="b">
        <f t="shared" si="151"/>
        <v>0</v>
      </c>
      <c r="CF104" s="673"/>
      <c r="CG104" s="752">
        <f t="shared" si="152"/>
        <v>5.6888524966558913</v>
      </c>
      <c r="CH104" s="752">
        <f t="shared" si="153"/>
        <v>2.6785539218425431E-2</v>
      </c>
      <c r="CI104" s="752">
        <f t="shared" si="154"/>
        <v>1.791522687835598E-3</v>
      </c>
      <c r="CJ104" s="755">
        <f t="shared" si="155"/>
        <v>5.344127215348303</v>
      </c>
      <c r="CK104" s="755">
        <f t="shared" si="156"/>
        <v>2.622545276768268</v>
      </c>
      <c r="CL104" s="755">
        <f t="shared" si="157"/>
        <v>4.9437317459762466</v>
      </c>
      <c r="CM104" s="755">
        <f t="shared" si="158"/>
        <v>9.7213016084915154</v>
      </c>
      <c r="CN104" s="755">
        <f t="shared" si="159"/>
        <v>2.5820617441084881</v>
      </c>
      <c r="CO104" s="755">
        <f t="shared" si="160"/>
        <v>3.6698478008126512</v>
      </c>
      <c r="CP104" s="755">
        <f t="shared" si="144"/>
        <v>33.481924023031787</v>
      </c>
      <c r="CQ104" s="755">
        <f t="shared" si="161"/>
        <v>5.4276384202375656</v>
      </c>
      <c r="CR104" s="755">
        <f t="shared" si="145"/>
        <v>42.381076996169277</v>
      </c>
      <c r="CS104" s="755">
        <f t="shared" si="162"/>
        <v>19.264125907349669</v>
      </c>
      <c r="CT104" s="755">
        <f t="shared" si="146"/>
        <v>5.6888524966558913</v>
      </c>
      <c r="CU104" s="755">
        <f t="shared" si="147"/>
        <v>3.9874266599691746</v>
      </c>
      <c r="CX104" s="755"/>
      <c r="CY104" s="755"/>
      <c r="CZ104" s="755"/>
      <c r="DA104" s="755"/>
      <c r="DB104" s="755"/>
      <c r="DC104" s="755"/>
      <c r="DD104" s="755" t="b">
        <f t="shared" si="220"/>
        <v>0</v>
      </c>
      <c r="DE104" s="755">
        <f t="shared" si="163"/>
        <v>5.1189623843703611</v>
      </c>
      <c r="DF104" s="755">
        <v>83</v>
      </c>
      <c r="DG104" s="755">
        <f t="shared" si="221"/>
        <v>8.5</v>
      </c>
      <c r="DH104" s="673">
        <f t="shared" si="164"/>
        <v>3.3810376156296393</v>
      </c>
      <c r="DI104" s="673">
        <f t="shared" si="165"/>
        <v>2</v>
      </c>
      <c r="DJ104" s="766" t="b">
        <f t="shared" si="166"/>
        <v>0</v>
      </c>
      <c r="DK104" s="673"/>
      <c r="DL104" s="766">
        <f t="shared" si="167"/>
        <v>3.3810376156296393</v>
      </c>
      <c r="DM104" s="766">
        <f t="shared" si="168"/>
        <v>0.14760353212209842</v>
      </c>
      <c r="DN104" s="766">
        <f t="shared" si="169"/>
        <v>9.8723073836612663E-3</v>
      </c>
      <c r="DO104" s="766">
        <f t="shared" si="170"/>
        <v>4.46726391739662</v>
      </c>
      <c r="DP104" s="766">
        <f t="shared" si="171"/>
        <v>2.3944914724399773</v>
      </c>
      <c r="DQ104" s="766">
        <f t="shared" si="172"/>
        <v>3.226679338209919</v>
      </c>
      <c r="DR104" s="766">
        <f t="shared" si="173"/>
        <v>6.3449079869992469</v>
      </c>
      <c r="DS104" s="766">
        <f t="shared" si="174"/>
        <v>2.0566432677725812</v>
      </c>
      <c r="DT104" s="766">
        <f t="shared" si="175"/>
        <v>2.9427921088324855</v>
      </c>
      <c r="DU104" s="766">
        <f t="shared" si="176"/>
        <v>184.50441515262304</v>
      </c>
      <c r="DV104" s="766">
        <f t="shared" si="177"/>
        <v>29.909369954276599</v>
      </c>
      <c r="DW104" s="766">
        <f t="shared" si="178"/>
        <v>7.6908728651625795</v>
      </c>
      <c r="DX104" s="766">
        <f t="shared" si="179"/>
        <v>3.4958513023466269</v>
      </c>
      <c r="DY104" s="766">
        <f t="shared" si="180"/>
        <v>3.3810376156296393</v>
      </c>
      <c r="DZ104" s="766">
        <f t="shared" si="181"/>
        <v>2.988552464589755</v>
      </c>
      <c r="EB104" s="755"/>
      <c r="EC104" s="755"/>
      <c r="ED104" s="755"/>
      <c r="EE104" s="755"/>
      <c r="EF104" s="755" t="b">
        <f t="shared" si="222"/>
        <v>0</v>
      </c>
      <c r="EG104" s="755">
        <f t="shared" si="182"/>
        <v>42.81114750334411</v>
      </c>
      <c r="EH104" s="755">
        <v>83</v>
      </c>
      <c r="EI104" s="755">
        <f t="shared" si="227"/>
        <v>48.5</v>
      </c>
      <c r="EJ104" s="673">
        <f t="shared" si="183"/>
        <v>5.6888524966558913</v>
      </c>
      <c r="EK104" s="673">
        <f t="shared" si="184"/>
        <v>2.2510196371999172</v>
      </c>
      <c r="EL104" s="755" t="b">
        <f t="shared" si="185"/>
        <v>0</v>
      </c>
      <c r="EM104" s="673"/>
      <c r="EN104" s="755">
        <f t="shared" si="186"/>
        <v>5.6888524966558913</v>
      </c>
      <c r="EO104" s="755">
        <f t="shared" si="187"/>
        <v>2.6785539218425431E-2</v>
      </c>
      <c r="EP104" s="755">
        <f t="shared" si="188"/>
        <v>1.791522687835598E-3</v>
      </c>
      <c r="EQ104" s="755">
        <f t="shared" si="189"/>
        <v>5.344127215348303</v>
      </c>
      <c r="ER104" s="755">
        <f t="shared" si="190"/>
        <v>2.622545276768268</v>
      </c>
      <c r="ES104" s="755">
        <f t="shared" si="191"/>
        <v>4.9437317459762466</v>
      </c>
      <c r="ET104" s="755">
        <f t="shared" si="192"/>
        <v>9.7213016084915154</v>
      </c>
      <c r="EU104" s="755">
        <f t="shared" si="193"/>
        <v>2.5820617441084881</v>
      </c>
      <c r="EV104" s="755">
        <f t="shared" si="194"/>
        <v>3.6698478008126512</v>
      </c>
      <c r="EW104" s="755">
        <f t="shared" si="195"/>
        <v>33.481924023031787</v>
      </c>
      <c r="EX104" s="755">
        <f t="shared" si="196"/>
        <v>5.4276384202375656</v>
      </c>
      <c r="EY104" s="755">
        <f t="shared" si="223"/>
        <v>42.381076996169277</v>
      </c>
      <c r="EZ104" s="755">
        <f t="shared" si="197"/>
        <v>19.264125907349669</v>
      </c>
      <c r="FA104" s="755">
        <f t="shared" si="198"/>
        <v>5.6888524966558913</v>
      </c>
      <c r="FB104" s="755">
        <f t="shared" si="199"/>
        <v>3.9874266599691746</v>
      </c>
      <c r="FC104" s="755"/>
      <c r="FD104" s="755"/>
      <c r="FE104" s="755"/>
      <c r="FF104" s="755"/>
      <c r="FG104" s="755"/>
      <c r="FH104" s="755"/>
      <c r="FI104" s="755"/>
      <c r="FJ104" s="755"/>
      <c r="FK104" s="755" t="b">
        <f t="shared" si="224"/>
        <v>0</v>
      </c>
      <c r="FL104" s="755">
        <f t="shared" si="200"/>
        <v>5.5114475354102446</v>
      </c>
      <c r="FM104" s="755">
        <v>83</v>
      </c>
      <c r="FN104" s="767">
        <f t="shared" si="225"/>
        <v>8.5</v>
      </c>
      <c r="FO104" s="673">
        <f t="shared" si="201"/>
        <v>2.988552464589755</v>
      </c>
      <c r="FP104" s="673">
        <f t="shared" si="202"/>
        <v>2.2510196371999172</v>
      </c>
      <c r="FQ104" s="766" t="b">
        <f t="shared" si="203"/>
        <v>0</v>
      </c>
      <c r="FR104" s="673"/>
      <c r="FS104" s="767">
        <f t="shared" si="204"/>
        <v>2.988552464589755</v>
      </c>
      <c r="FT104" s="766">
        <f t="shared" si="205"/>
        <v>0.14760353212209842</v>
      </c>
      <c r="FU104" s="766">
        <f t="shared" si="206"/>
        <v>9.8723073836612663E-3</v>
      </c>
      <c r="FV104" s="766">
        <f t="shared" si="207"/>
        <v>4.46726391739662</v>
      </c>
      <c r="FW104" s="766">
        <f t="shared" si="208"/>
        <v>2.3944914724399773</v>
      </c>
      <c r="FX104" s="766">
        <f t="shared" si="209"/>
        <v>3.6316592766288802</v>
      </c>
      <c r="FY104" s="766">
        <f t="shared" si="210"/>
        <v>7.1412562374809507</v>
      </c>
      <c r="FZ104" s="766">
        <f t="shared" si="211"/>
        <v>2.0566432677725812</v>
      </c>
      <c r="GA104" s="766">
        <f t="shared" si="212"/>
        <v>2.9427921088324855</v>
      </c>
      <c r="GB104" s="766">
        <f t="shared" si="213"/>
        <v>184.50441515262304</v>
      </c>
      <c r="GC104" s="766">
        <f t="shared" si="214"/>
        <v>29.909369954276599</v>
      </c>
      <c r="GD104" s="766">
        <f t="shared" si="215"/>
        <v>7.6908728651625795</v>
      </c>
      <c r="GE104" s="766">
        <f t="shared" si="216"/>
        <v>3.4958513023466269</v>
      </c>
      <c r="GF104" s="766">
        <f t="shared" si="217"/>
        <v>3.9354730112002629</v>
      </c>
      <c r="GG104" s="766">
        <f t="shared" si="218"/>
        <v>2.988552464589755</v>
      </c>
    </row>
    <row r="105" spans="15:189">
      <c r="AN105" s="680" t="b">
        <v>0</v>
      </c>
      <c r="AO105" s="1060" t="s">
        <v>538</v>
      </c>
      <c r="AP105" s="1061"/>
      <c r="AQ105" s="72">
        <f>0.03/AQ100</f>
        <v>3.8905566477032529</v>
      </c>
      <c r="AR105" s="72">
        <f>0.03/AR100</f>
        <v>1.1043601176130537</v>
      </c>
      <c r="AS105" s="72">
        <f>0.03/AS100</f>
        <v>3.9182812762420989</v>
      </c>
      <c r="AU105" s="161"/>
      <c r="AV105" s="161"/>
      <c r="AW105" s="694">
        <v>1</v>
      </c>
      <c r="AX105" s="694">
        <v>2</v>
      </c>
      <c r="AY105" s="694">
        <v>3</v>
      </c>
      <c r="AZ105" s="694"/>
      <c r="BA105" s="694"/>
      <c r="BB105" s="694"/>
      <c r="BC105" s="694"/>
      <c r="BD105" s="694"/>
      <c r="BE105" s="694"/>
      <c r="BY105" s="753" t="b">
        <f t="shared" si="219"/>
        <v>0</v>
      </c>
      <c r="BZ105" s="753">
        <f t="shared" si="148"/>
        <v>43.294831684181077</v>
      </c>
      <c r="CA105" s="751">
        <v>84</v>
      </c>
      <c r="CB105" s="752">
        <f t="shared" si="226"/>
        <v>49</v>
      </c>
      <c r="CC105" s="673">
        <f t="shared" si="149"/>
        <v>5.7051683158189199</v>
      </c>
      <c r="CD105" s="91">
        <f t="shared" si="150"/>
        <v>2</v>
      </c>
      <c r="CE105" s="752" t="b">
        <f t="shared" si="151"/>
        <v>0</v>
      </c>
      <c r="CF105" s="673"/>
      <c r="CG105" s="752">
        <f t="shared" si="152"/>
        <v>5.7051683158189199</v>
      </c>
      <c r="CH105" s="752">
        <f t="shared" si="153"/>
        <v>2.6517656398740676E-2</v>
      </c>
      <c r="CI105" s="752">
        <f t="shared" si="154"/>
        <v>1.7736056264976473E-3</v>
      </c>
      <c r="CJ105" s="755">
        <f t="shared" si="155"/>
        <v>5.346588130612119</v>
      </c>
      <c r="CK105" s="755">
        <f t="shared" si="156"/>
        <v>2.6231256513784098</v>
      </c>
      <c r="CL105" s="755">
        <f t="shared" si="157"/>
        <v>4.9561701867951697</v>
      </c>
      <c r="CM105" s="755">
        <f t="shared" si="158"/>
        <v>9.7457604264357833</v>
      </c>
      <c r="CN105" s="755">
        <f t="shared" si="159"/>
        <v>2.5854833219756821</v>
      </c>
      <c r="CO105" s="755">
        <f t="shared" si="160"/>
        <v>3.6745917906849259</v>
      </c>
      <c r="CP105" s="755">
        <f t="shared" si="144"/>
        <v>33.147070498425848</v>
      </c>
      <c r="CQ105" s="755">
        <f t="shared" si="161"/>
        <v>5.3733564783141272</v>
      </c>
      <c r="CR105" s="755">
        <f t="shared" si="145"/>
        <v>42.809212960988162</v>
      </c>
      <c r="CS105" s="755">
        <f t="shared" si="162"/>
        <v>19.458733164085526</v>
      </c>
      <c r="CT105" s="755">
        <f t="shared" si="146"/>
        <v>5.7051683158189199</v>
      </c>
      <c r="CU105" s="755">
        <f t="shared" si="147"/>
        <v>3.993876706040278</v>
      </c>
      <c r="CX105" s="755"/>
      <c r="CY105" s="755"/>
      <c r="CZ105" s="755"/>
      <c r="DA105" s="755"/>
      <c r="DB105" s="755"/>
      <c r="DC105" s="755"/>
      <c r="DD105" s="755" t="b">
        <f t="shared" si="220"/>
        <v>0</v>
      </c>
      <c r="DE105" s="755">
        <f t="shared" si="163"/>
        <v>4.6845106077123173</v>
      </c>
      <c r="DF105" s="755">
        <v>84</v>
      </c>
      <c r="DG105" s="755">
        <f t="shared" si="221"/>
        <v>8</v>
      </c>
      <c r="DH105" s="673">
        <f t="shared" si="164"/>
        <v>3.3154893922876827</v>
      </c>
      <c r="DI105" s="673">
        <f t="shared" si="165"/>
        <v>2</v>
      </c>
      <c r="DJ105" s="766" t="b">
        <f t="shared" si="166"/>
        <v>0</v>
      </c>
      <c r="DK105" s="673"/>
      <c r="DL105" s="766">
        <f t="shared" si="167"/>
        <v>3.3154893922876827</v>
      </c>
      <c r="DM105" s="766">
        <f t="shared" si="168"/>
        <v>0.15663871443643351</v>
      </c>
      <c r="DN105" s="766">
        <f t="shared" si="169"/>
        <v>1.0476616073244323E-2</v>
      </c>
      <c r="DO105" s="766">
        <f t="shared" si="170"/>
        <v>4.4159854069664268</v>
      </c>
      <c r="DP105" s="766">
        <f t="shared" si="171"/>
        <v>2.3797344766372004</v>
      </c>
      <c r="DQ105" s="766">
        <f t="shared" si="172"/>
        <v>3.1791075329882603</v>
      </c>
      <c r="DR105" s="766">
        <f t="shared" si="173"/>
        <v>6.2513632943697264</v>
      </c>
      <c r="DS105" s="766">
        <f t="shared" si="174"/>
        <v>2.0401976434921671</v>
      </c>
      <c r="DT105" s="766">
        <f t="shared" si="175"/>
        <v>2.920087207626985</v>
      </c>
      <c r="DU105" s="766">
        <f t="shared" si="176"/>
        <v>195.7983930455419</v>
      </c>
      <c r="DV105" s="766">
        <f t="shared" si="177"/>
        <v>31.740197486372807</v>
      </c>
      <c r="DW105" s="766">
        <f t="shared" si="178"/>
        <v>7.2472504903038022</v>
      </c>
      <c r="DX105" s="766">
        <f t="shared" si="179"/>
        <v>3.2942047683199096</v>
      </c>
      <c r="DY105" s="766">
        <f t="shared" si="180"/>
        <v>3.3154893922876827</v>
      </c>
      <c r="DZ105" s="766">
        <f t="shared" si="181"/>
        <v>2.9570242972551286</v>
      </c>
      <c r="EB105" s="755"/>
      <c r="EC105" s="755"/>
      <c r="ED105" s="755"/>
      <c r="EE105" s="755"/>
      <c r="EF105" s="755" t="b">
        <f t="shared" si="222"/>
        <v>0</v>
      </c>
      <c r="EG105" s="755">
        <f t="shared" si="182"/>
        <v>43.294831684181077</v>
      </c>
      <c r="EH105" s="755">
        <v>84</v>
      </c>
      <c r="EI105" s="755">
        <f t="shared" si="227"/>
        <v>49</v>
      </c>
      <c r="EJ105" s="673">
        <f t="shared" si="183"/>
        <v>5.7051683158189199</v>
      </c>
      <c r="EK105" s="673">
        <f t="shared" si="184"/>
        <v>2.2510196371999172</v>
      </c>
      <c r="EL105" s="755" t="b">
        <f t="shared" si="185"/>
        <v>0</v>
      </c>
      <c r="EM105" s="673"/>
      <c r="EN105" s="755">
        <f t="shared" si="186"/>
        <v>5.7051683158189199</v>
      </c>
      <c r="EO105" s="755">
        <f t="shared" si="187"/>
        <v>2.6517656398740676E-2</v>
      </c>
      <c r="EP105" s="755">
        <f t="shared" si="188"/>
        <v>1.7736056264976473E-3</v>
      </c>
      <c r="EQ105" s="755">
        <f t="shared" si="189"/>
        <v>5.346588130612119</v>
      </c>
      <c r="ER105" s="755">
        <f t="shared" si="190"/>
        <v>2.6231256513784098</v>
      </c>
      <c r="ES105" s="755">
        <f t="shared" si="191"/>
        <v>4.9561701867951697</v>
      </c>
      <c r="ET105" s="755">
        <f t="shared" si="192"/>
        <v>9.7457604264357833</v>
      </c>
      <c r="EU105" s="755">
        <f t="shared" si="193"/>
        <v>2.5854833219756821</v>
      </c>
      <c r="EV105" s="755">
        <f t="shared" si="194"/>
        <v>3.6745917906849259</v>
      </c>
      <c r="EW105" s="755">
        <f t="shared" si="195"/>
        <v>33.147070498425848</v>
      </c>
      <c r="EX105" s="755">
        <f t="shared" si="196"/>
        <v>5.3733564783141272</v>
      </c>
      <c r="EY105" s="755">
        <f t="shared" si="223"/>
        <v>42.809212960988162</v>
      </c>
      <c r="EZ105" s="755">
        <f t="shared" si="197"/>
        <v>19.458733164085526</v>
      </c>
      <c r="FA105" s="755">
        <f t="shared" si="198"/>
        <v>5.7051683158189199</v>
      </c>
      <c r="FB105" s="755">
        <f t="shared" si="199"/>
        <v>3.993876706040278</v>
      </c>
      <c r="FC105" s="755"/>
      <c r="FD105" s="755"/>
      <c r="FE105" s="755"/>
      <c r="FF105" s="755"/>
      <c r="FG105" s="755"/>
      <c r="FH105" s="755"/>
      <c r="FI105" s="755"/>
      <c r="FJ105" s="755"/>
      <c r="FK105" s="755" t="b">
        <f t="shared" si="224"/>
        <v>0</v>
      </c>
      <c r="FL105" s="755">
        <f t="shared" si="200"/>
        <v>5.0429757027448714</v>
      </c>
      <c r="FM105" s="755">
        <v>84</v>
      </c>
      <c r="FN105" s="767">
        <f t="shared" si="225"/>
        <v>8</v>
      </c>
      <c r="FO105" s="673">
        <f t="shared" si="201"/>
        <v>2.9570242972551286</v>
      </c>
      <c r="FP105" s="673">
        <f t="shared" si="202"/>
        <v>2.2510196371999172</v>
      </c>
      <c r="FQ105" s="766" t="b">
        <f t="shared" si="203"/>
        <v>0</v>
      </c>
      <c r="FR105" s="673"/>
      <c r="FS105" s="767">
        <f t="shared" si="204"/>
        <v>2.9570242972551286</v>
      </c>
      <c r="FT105" s="766">
        <f t="shared" si="205"/>
        <v>0.15663871443643351</v>
      </c>
      <c r="FU105" s="766">
        <f t="shared" si="206"/>
        <v>1.0476616073244323E-2</v>
      </c>
      <c r="FV105" s="766">
        <f t="shared" si="207"/>
        <v>4.4159854069664268</v>
      </c>
      <c r="FW105" s="766">
        <f t="shared" si="208"/>
        <v>2.3797344766372004</v>
      </c>
      <c r="FX105" s="766">
        <f t="shared" si="209"/>
        <v>3.5781167427633789</v>
      </c>
      <c r="FY105" s="766">
        <f t="shared" si="210"/>
        <v>7.0359707674485099</v>
      </c>
      <c r="FZ105" s="766">
        <f t="shared" si="211"/>
        <v>2.0401976434921671</v>
      </c>
      <c r="GA105" s="766">
        <f t="shared" si="212"/>
        <v>2.920087207626985</v>
      </c>
      <c r="GB105" s="766">
        <f t="shared" si="213"/>
        <v>195.7983930455419</v>
      </c>
      <c r="GC105" s="766">
        <f t="shared" si="214"/>
        <v>31.740197486372807</v>
      </c>
      <c r="GD105" s="766">
        <f t="shared" si="215"/>
        <v>7.2472504903038022</v>
      </c>
      <c r="GE105" s="766">
        <f t="shared" si="216"/>
        <v>3.2942047683199096</v>
      </c>
      <c r="GF105" s="766">
        <f t="shared" si="217"/>
        <v>3.8625362205315268</v>
      </c>
      <c r="GG105" s="766">
        <f t="shared" si="218"/>
        <v>2.9570242972551286</v>
      </c>
    </row>
    <row r="106" spans="15:189" ht="19" thickBot="1">
      <c r="AN106" s="680" t="b">
        <v>0</v>
      </c>
      <c r="AO106" s="1060" t="s">
        <v>539</v>
      </c>
      <c r="AP106" s="1061"/>
      <c r="AQ106" s="681">
        <f>AQ105/2.2</f>
        <v>1.7684348398651148</v>
      </c>
      <c r="AR106" s="681">
        <f>AR105/2.2</f>
        <v>0.50198187164229713</v>
      </c>
      <c r="AS106" s="681">
        <f>AS105/2.2</f>
        <v>1.7810369437464084</v>
      </c>
      <c r="AU106" s="1064" t="s">
        <v>621</v>
      </c>
      <c r="AV106" s="1065"/>
      <c r="AW106" s="85">
        <f>IF(AX10&lt;=5,0,((AX10-5)/100)*S32*1.375*1.111*1.3)</f>
        <v>0</v>
      </c>
      <c r="AX106" s="479">
        <f>IF(AX11&lt;=5,0,((AX11-5)/100)*S52*1.375*1.111*1.3)</f>
        <v>2.5600592062083387</v>
      </c>
      <c r="AY106" s="85">
        <f>IF(AX12&lt;=5,0,((AX12-5)/100)*S72*1.375*1.111*1.3)</f>
        <v>7.4021552991055142</v>
      </c>
      <c r="AZ106" s="694" t="b">
        <v>1</v>
      </c>
      <c r="BA106" s="71" t="s">
        <v>543</v>
      </c>
      <c r="BB106" s="694"/>
      <c r="BC106" s="697">
        <f>IF(ISNUMBER(AQ95),IF(AQ95&gt;100,100,IF(AQ95&lt;0,0,IF(AND(AQ95&gt;0,AQ95&lt;100),AQ95,""))),"")</f>
        <v>100</v>
      </c>
      <c r="BD106" s="697">
        <f>IF(ISNUMBER(AV95),IF(AV95&gt;100,100,IF(AV95&lt;0,0,IF(AND(AV95&gt;0,AV95&lt;100),AV95,""))),"")</f>
        <v>100</v>
      </c>
      <c r="BE106" s="697">
        <f>IF(ISNUMBER(AW95),IF(AW95&gt;100,100,IF(AW95&lt;0,0,IF(AND(AW95&gt;0,AW95&lt;100),AW95,""))),"")</f>
        <v>98.186357012654042</v>
      </c>
      <c r="BY106" s="753" t="b">
        <f t="shared" si="219"/>
        <v>0</v>
      </c>
      <c r="BZ106" s="753">
        <f t="shared" si="148"/>
        <v>43.778646662938634</v>
      </c>
      <c r="CA106" s="751">
        <v>85</v>
      </c>
      <c r="CB106" s="752">
        <f t="shared" si="226"/>
        <v>49.5</v>
      </c>
      <c r="CC106" s="673">
        <f t="shared" si="149"/>
        <v>5.7213533370613634</v>
      </c>
      <c r="CD106" s="91">
        <f t="shared" si="150"/>
        <v>2</v>
      </c>
      <c r="CE106" s="752" t="b">
        <f t="shared" si="151"/>
        <v>0</v>
      </c>
      <c r="CF106" s="673"/>
      <c r="CG106" s="752">
        <f t="shared" si="152"/>
        <v>5.7213533370613634</v>
      </c>
      <c r="CH106" s="752">
        <f t="shared" si="153"/>
        <v>2.6255131779425067E-2</v>
      </c>
      <c r="CI106" s="752">
        <f t="shared" si="154"/>
        <v>1.7560469427696829E-3</v>
      </c>
      <c r="CJ106" s="755">
        <f t="shared" si="155"/>
        <v>5.3490026832206476</v>
      </c>
      <c r="CK106" s="755">
        <f t="shared" si="156"/>
        <v>2.6236947913113138</v>
      </c>
      <c r="CL106" s="755">
        <f t="shared" si="157"/>
        <v>4.9685131667598608</v>
      </c>
      <c r="CM106" s="755">
        <f t="shared" si="158"/>
        <v>9.7700315311699715</v>
      </c>
      <c r="CN106" s="755">
        <f t="shared" si="159"/>
        <v>2.5888742169472954</v>
      </c>
      <c r="CO106" s="755">
        <f t="shared" si="160"/>
        <v>3.6792933436206319</v>
      </c>
      <c r="CP106" s="755">
        <f t="shared" si="144"/>
        <v>32.818914724281335</v>
      </c>
      <c r="CQ106" s="755">
        <f t="shared" si="161"/>
        <v>5.3201602854566215</v>
      </c>
      <c r="CR106" s="755">
        <f t="shared" si="145"/>
        <v>43.237261558504301</v>
      </c>
      <c r="CS106" s="755">
        <f t="shared" si="162"/>
        <v>19.653300708411045</v>
      </c>
      <c r="CT106" s="755">
        <f t="shared" si="146"/>
        <v>5.7213533370613634</v>
      </c>
      <c r="CU106" s="755">
        <f t="shared" si="147"/>
        <v>4.0002681988348616</v>
      </c>
      <c r="CX106" s="755"/>
      <c r="CY106" s="755"/>
      <c r="CZ106" s="755"/>
      <c r="DA106" s="755"/>
      <c r="DB106" s="755"/>
      <c r="DC106" s="755"/>
      <c r="DD106" s="755" t="b">
        <f t="shared" si="220"/>
        <v>0</v>
      </c>
      <c r="DE106" s="755">
        <f t="shared" si="163"/>
        <v>4.2533245022920383</v>
      </c>
      <c r="DF106" s="755">
        <v>85</v>
      </c>
      <c r="DG106" s="755">
        <f t="shared" si="221"/>
        <v>7.5</v>
      </c>
      <c r="DH106" s="673">
        <f t="shared" si="164"/>
        <v>3.2466754977079622</v>
      </c>
      <c r="DI106" s="673">
        <f t="shared" si="165"/>
        <v>2</v>
      </c>
      <c r="DJ106" s="766" t="b">
        <f t="shared" si="166"/>
        <v>0</v>
      </c>
      <c r="DK106" s="673"/>
      <c r="DL106" s="766">
        <f t="shared" si="167"/>
        <v>3.2466754977079622</v>
      </c>
      <c r="DM106" s="766">
        <f t="shared" si="168"/>
        <v>0.16686577093079455</v>
      </c>
      <c r="DN106" s="766">
        <f t="shared" si="169"/>
        <v>1.1160642016870677E-2</v>
      </c>
      <c r="DO106" s="766">
        <f t="shared" si="170"/>
        <v>4.3597519881651339</v>
      </c>
      <c r="DP106" s="766">
        <f t="shared" si="171"/>
        <v>2.3633555728235227</v>
      </c>
      <c r="DQ106" s="766">
        <f t="shared" si="172"/>
        <v>3.1292350124745871</v>
      </c>
      <c r="DR106" s="766">
        <f t="shared" si="173"/>
        <v>6.1532944996209622</v>
      </c>
      <c r="DS106" s="766">
        <f t="shared" si="174"/>
        <v>2.022816402411908</v>
      </c>
      <c r="DT106" s="766">
        <f t="shared" si="175"/>
        <v>2.8960944360481364</v>
      </c>
      <c r="DU106" s="766">
        <f t="shared" si="176"/>
        <v>208.58221366349318</v>
      </c>
      <c r="DV106" s="766">
        <f t="shared" si="177"/>
        <v>33.81253824838182</v>
      </c>
      <c r="DW106" s="766">
        <f t="shared" si="178"/>
        <v>6.8030728750883833</v>
      </c>
      <c r="DX106" s="766">
        <f t="shared" si="179"/>
        <v>3.0923058523129012</v>
      </c>
      <c r="DY106" s="766">
        <f t="shared" si="180"/>
        <v>3.2466754977079622</v>
      </c>
      <c r="DZ106" s="766">
        <f t="shared" si="181"/>
        <v>2.9236855079202213</v>
      </c>
      <c r="EB106" s="755"/>
      <c r="EC106" s="755"/>
      <c r="ED106" s="755"/>
      <c r="EE106" s="755"/>
      <c r="EF106" s="755" t="b">
        <f t="shared" si="222"/>
        <v>0</v>
      </c>
      <c r="EG106" s="755">
        <f t="shared" si="182"/>
        <v>43.778646662938634</v>
      </c>
      <c r="EH106" s="755">
        <v>85</v>
      </c>
      <c r="EI106" s="755">
        <f t="shared" si="227"/>
        <v>49.5</v>
      </c>
      <c r="EJ106" s="673">
        <f t="shared" si="183"/>
        <v>5.7213533370613634</v>
      </c>
      <c r="EK106" s="673">
        <f t="shared" si="184"/>
        <v>2.2510196371999172</v>
      </c>
      <c r="EL106" s="755" t="b">
        <f t="shared" si="185"/>
        <v>0</v>
      </c>
      <c r="EM106" s="673"/>
      <c r="EN106" s="755">
        <f t="shared" si="186"/>
        <v>5.7213533370613634</v>
      </c>
      <c r="EO106" s="755">
        <f t="shared" si="187"/>
        <v>2.6255131779425067E-2</v>
      </c>
      <c r="EP106" s="755">
        <f t="shared" si="188"/>
        <v>1.7560469427696829E-3</v>
      </c>
      <c r="EQ106" s="755">
        <f t="shared" si="189"/>
        <v>5.3490026832206476</v>
      </c>
      <c r="ER106" s="755">
        <f t="shared" si="190"/>
        <v>2.6236947913113138</v>
      </c>
      <c r="ES106" s="755">
        <f t="shared" si="191"/>
        <v>4.9685131667598608</v>
      </c>
      <c r="ET106" s="755">
        <f t="shared" si="192"/>
        <v>9.7700315311699715</v>
      </c>
      <c r="EU106" s="755">
        <f t="shared" si="193"/>
        <v>2.5888742169472954</v>
      </c>
      <c r="EV106" s="755">
        <f t="shared" si="194"/>
        <v>3.6792933436206319</v>
      </c>
      <c r="EW106" s="755">
        <f t="shared" si="195"/>
        <v>32.818914724281335</v>
      </c>
      <c r="EX106" s="755">
        <f t="shared" si="196"/>
        <v>5.3201602854566215</v>
      </c>
      <c r="EY106" s="755">
        <f t="shared" si="223"/>
        <v>43.237261558504301</v>
      </c>
      <c r="EZ106" s="755">
        <f t="shared" si="197"/>
        <v>19.653300708411045</v>
      </c>
      <c r="FA106" s="755">
        <f t="shared" si="198"/>
        <v>5.7213533370613634</v>
      </c>
      <c r="FB106" s="755">
        <f t="shared" si="199"/>
        <v>4.0002681988348616</v>
      </c>
      <c r="FC106" s="755"/>
      <c r="FD106" s="755"/>
      <c r="FE106" s="755"/>
      <c r="FF106" s="755"/>
      <c r="FG106" s="755"/>
      <c r="FH106" s="755"/>
      <c r="FI106" s="755"/>
      <c r="FJ106" s="755"/>
      <c r="FK106" s="755" t="b">
        <f t="shared" si="224"/>
        <v>0</v>
      </c>
      <c r="FL106" s="755">
        <f t="shared" si="200"/>
        <v>4.5763144920797787</v>
      </c>
      <c r="FM106" s="755">
        <v>85</v>
      </c>
      <c r="FN106" s="767">
        <f t="shared" si="225"/>
        <v>7.5</v>
      </c>
      <c r="FO106" s="673">
        <f t="shared" si="201"/>
        <v>2.9236855079202213</v>
      </c>
      <c r="FP106" s="673">
        <f t="shared" si="202"/>
        <v>2.2510196371999172</v>
      </c>
      <c r="FQ106" s="766" t="b">
        <f t="shared" si="203"/>
        <v>0</v>
      </c>
      <c r="FR106" s="673"/>
      <c r="FS106" s="767">
        <f t="shared" si="204"/>
        <v>2.9236855079202213</v>
      </c>
      <c r="FT106" s="766">
        <f t="shared" si="205"/>
        <v>0.16686577093079455</v>
      </c>
      <c r="FU106" s="766">
        <f t="shared" si="206"/>
        <v>1.1160642016870677E-2</v>
      </c>
      <c r="FV106" s="766">
        <f t="shared" si="207"/>
        <v>4.3597519881651339</v>
      </c>
      <c r="FW106" s="766">
        <f t="shared" si="208"/>
        <v>2.3633555728235227</v>
      </c>
      <c r="FX106" s="766">
        <f t="shared" si="209"/>
        <v>3.5219847312469117</v>
      </c>
      <c r="FY106" s="766">
        <f t="shared" si="210"/>
        <v>6.9255933760605117</v>
      </c>
      <c r="FZ106" s="766">
        <f t="shared" si="211"/>
        <v>2.022816402411908</v>
      </c>
      <c r="GA106" s="766">
        <f t="shared" si="212"/>
        <v>2.8960944360481364</v>
      </c>
      <c r="GB106" s="766">
        <f t="shared" si="213"/>
        <v>208.58221366349318</v>
      </c>
      <c r="GC106" s="766">
        <f t="shared" si="214"/>
        <v>33.81253824838182</v>
      </c>
      <c r="GD106" s="766">
        <f t="shared" si="215"/>
        <v>6.8030728750883833</v>
      </c>
      <c r="GE106" s="766">
        <f t="shared" si="216"/>
        <v>3.0923058523129012</v>
      </c>
      <c r="GF106" s="766">
        <f t="shared" si="217"/>
        <v>3.7859529746627261</v>
      </c>
      <c r="GG106" s="766">
        <f t="shared" si="218"/>
        <v>2.9236855079202213</v>
      </c>
    </row>
    <row r="107" spans="15:189">
      <c r="AN107" s="680" t="b">
        <v>1</v>
      </c>
      <c r="AO107" s="1060" t="s">
        <v>540</v>
      </c>
      <c r="AP107" s="1061"/>
      <c r="AQ107" s="72">
        <f>W7/AQ102</f>
        <v>6.3583021835831302</v>
      </c>
      <c r="AR107" s="72">
        <f>W8/AR102</f>
        <v>1.2297146182533254</v>
      </c>
      <c r="AS107" s="72">
        <f>W9/AS102</f>
        <v>8.0043456615651802</v>
      </c>
      <c r="AU107" s="1064" t="s">
        <v>622</v>
      </c>
      <c r="AV107" s="1065"/>
      <c r="AW107" s="85">
        <f>IF(AX10&lt;=5,0,(0.0086*1.3*0.1*('Soil Water Parameters'!AE33/1000)*(S32*10)*(AX10-5)))</f>
        <v>0</v>
      </c>
      <c r="AX107" s="85">
        <f>IF(AX11&lt;=5,0,(0.0086*1.3*0.1*('Soil Water Parameters'!AE51/1000)*(S52*10)*(AX11-5)))</f>
        <v>2.3012640213945197</v>
      </c>
      <c r="AY107" s="85">
        <f>IF(AX12&lt;=5,0,(0.0086*1.3*0.1*('Soil Water Parameters'!AE69/1000)*(S72*10)*(AX12-5)))</f>
        <v>6.4923302147446273</v>
      </c>
      <c r="AZ107" s="694"/>
      <c r="BA107" s="694"/>
      <c r="BB107" s="694"/>
      <c r="BC107" s="694"/>
      <c r="BD107" s="694"/>
      <c r="BE107" s="694"/>
      <c r="BY107" s="753" t="b">
        <f t="shared" si="219"/>
        <v>0</v>
      </c>
      <c r="BZ107" s="753">
        <f t="shared" si="148"/>
        <v>44.262590098312003</v>
      </c>
      <c r="CA107" s="751">
        <v>86</v>
      </c>
      <c r="CB107" s="752">
        <f t="shared" si="226"/>
        <v>50</v>
      </c>
      <c r="CC107" s="673">
        <f t="shared" si="149"/>
        <v>5.7374099016879976</v>
      </c>
      <c r="CD107" s="91">
        <f t="shared" si="150"/>
        <v>2</v>
      </c>
      <c r="CE107" s="752" t="b">
        <f t="shared" si="151"/>
        <v>0</v>
      </c>
      <c r="CF107" s="673"/>
      <c r="CG107" s="752">
        <f t="shared" si="152"/>
        <v>5.7374099016879976</v>
      </c>
      <c r="CH107" s="752">
        <f t="shared" si="153"/>
        <v>2.5997805670030988E-2</v>
      </c>
      <c r="CI107" s="752">
        <f t="shared" si="154"/>
        <v>1.7388359559236597E-3</v>
      </c>
      <c r="CJ107" s="755">
        <f t="shared" si="155"/>
        <v>5.3513721762922799</v>
      </c>
      <c r="CK107" s="755">
        <f t="shared" si="156"/>
        <v>2.6242530208223878</v>
      </c>
      <c r="CL107" s="755">
        <f t="shared" si="157"/>
        <v>4.9807623717518501</v>
      </c>
      <c r="CM107" s="755">
        <f t="shared" si="158"/>
        <v>9.794118237793624</v>
      </c>
      <c r="CN107" s="755">
        <f t="shared" si="159"/>
        <v>2.5922350102850396</v>
      </c>
      <c r="CO107" s="755">
        <f t="shared" si="160"/>
        <v>3.6839532624987661</v>
      </c>
      <c r="CP107" s="755">
        <f t="shared" si="144"/>
        <v>32.497257087538735</v>
      </c>
      <c r="CQ107" s="755">
        <f t="shared" si="161"/>
        <v>5.2680174830852282</v>
      </c>
      <c r="CR107" s="755">
        <f t="shared" si="145"/>
        <v>43.66522368880554</v>
      </c>
      <c r="CS107" s="755">
        <f t="shared" si="162"/>
        <v>19.84782894945706</v>
      </c>
      <c r="CT107" s="755">
        <f t="shared" si="146"/>
        <v>5.7374099016879976</v>
      </c>
      <c r="CU107" s="755">
        <f t="shared" si="147"/>
        <v>4.0066022528192775</v>
      </c>
      <c r="CX107" s="755"/>
      <c r="CY107" s="755"/>
      <c r="CZ107" s="755"/>
      <c r="DA107" s="755"/>
      <c r="DB107" s="755"/>
      <c r="DC107" s="755"/>
      <c r="DD107" s="755" t="b">
        <f t="shared" si="220"/>
        <v>0</v>
      </c>
      <c r="DE107" s="755">
        <f t="shared" si="163"/>
        <v>3.8258001612698158</v>
      </c>
      <c r="DF107" s="755">
        <v>86</v>
      </c>
      <c r="DG107" s="755">
        <f t="shared" si="221"/>
        <v>7</v>
      </c>
      <c r="DH107" s="673">
        <f t="shared" si="164"/>
        <v>3.1741998387301842</v>
      </c>
      <c r="DI107" s="673">
        <f t="shared" si="165"/>
        <v>2</v>
      </c>
      <c r="DJ107" s="766" t="b">
        <f t="shared" si="166"/>
        <v>0</v>
      </c>
      <c r="DK107" s="673"/>
      <c r="DL107" s="766">
        <f t="shared" si="167"/>
        <v>3.1741998387301842</v>
      </c>
      <c r="DM107" s="766">
        <f t="shared" si="168"/>
        <v>0.17853822722220389</v>
      </c>
      <c r="DN107" s="766">
        <f t="shared" si="169"/>
        <v>1.1941342009441462E-2</v>
      </c>
      <c r="DO107" s="766">
        <f t="shared" si="170"/>
        <v>4.2977952616334081</v>
      </c>
      <c r="DP107" s="766">
        <f t="shared" si="171"/>
        <v>2.3450688288332429</v>
      </c>
      <c r="DQ107" s="766">
        <f t="shared" si="172"/>
        <v>3.0767852940185634</v>
      </c>
      <c r="DR107" s="766">
        <f t="shared" si="173"/>
        <v>6.0501579302052626</v>
      </c>
      <c r="DS107" s="766">
        <f t="shared" si="174"/>
        <v>2.0043782108714843</v>
      </c>
      <c r="DT107" s="766">
        <f t="shared" si="175"/>
        <v>2.8706470309646828</v>
      </c>
      <c r="DU107" s="766">
        <f t="shared" si="176"/>
        <v>223.17278402775486</v>
      </c>
      <c r="DV107" s="766">
        <f t="shared" si="177"/>
        <v>36.177764936900999</v>
      </c>
      <c r="DW107" s="766">
        <f t="shared" si="178"/>
        <v>6.3583021835831302</v>
      </c>
      <c r="DX107" s="766">
        <f t="shared" si="179"/>
        <v>2.8901373561741499</v>
      </c>
      <c r="DY107" s="766">
        <f t="shared" si="180"/>
        <v>3.1741998387301842</v>
      </c>
      <c r="DZ107" s="766">
        <f t="shared" si="181"/>
        <v>2.888300413535374</v>
      </c>
      <c r="EB107" s="755"/>
      <c r="EC107" s="755"/>
      <c r="ED107" s="755"/>
      <c r="EE107" s="755"/>
      <c r="EF107" s="755" t="b">
        <f t="shared" si="222"/>
        <v>0</v>
      </c>
      <c r="EG107" s="755">
        <f t="shared" si="182"/>
        <v>44.262590098312003</v>
      </c>
      <c r="EH107" s="755">
        <v>86</v>
      </c>
      <c r="EI107" s="755">
        <f t="shared" si="227"/>
        <v>50</v>
      </c>
      <c r="EJ107" s="673">
        <f t="shared" si="183"/>
        <v>5.7374099016879976</v>
      </c>
      <c r="EK107" s="673">
        <f t="shared" si="184"/>
        <v>2.2510196371999172</v>
      </c>
      <c r="EL107" s="755" t="b">
        <f t="shared" si="185"/>
        <v>0</v>
      </c>
      <c r="EM107" s="673"/>
      <c r="EN107" s="755">
        <f t="shared" si="186"/>
        <v>5.7374099016879976</v>
      </c>
      <c r="EO107" s="755">
        <f t="shared" si="187"/>
        <v>2.5997805670030988E-2</v>
      </c>
      <c r="EP107" s="755">
        <f t="shared" si="188"/>
        <v>1.7388359559236597E-3</v>
      </c>
      <c r="EQ107" s="755">
        <f t="shared" si="189"/>
        <v>5.3513721762922799</v>
      </c>
      <c r="ER107" s="755">
        <f t="shared" si="190"/>
        <v>2.6242530208223878</v>
      </c>
      <c r="ES107" s="755">
        <f t="shared" si="191"/>
        <v>4.9807623717518501</v>
      </c>
      <c r="ET107" s="755">
        <f t="shared" si="192"/>
        <v>9.794118237793624</v>
      </c>
      <c r="EU107" s="755">
        <f t="shared" si="193"/>
        <v>2.5922350102850396</v>
      </c>
      <c r="EV107" s="755">
        <f t="shared" si="194"/>
        <v>3.6839532624987661</v>
      </c>
      <c r="EW107" s="755">
        <f t="shared" si="195"/>
        <v>32.497257087538735</v>
      </c>
      <c r="EX107" s="755">
        <f t="shared" si="196"/>
        <v>5.2680174830852282</v>
      </c>
      <c r="EY107" s="755">
        <f t="shared" si="223"/>
        <v>43.66522368880554</v>
      </c>
      <c r="EZ107" s="755">
        <f t="shared" si="197"/>
        <v>19.84782894945706</v>
      </c>
      <c r="FA107" s="755">
        <f t="shared" si="198"/>
        <v>5.7374099016879976</v>
      </c>
      <c r="FB107" s="755">
        <f t="shared" si="199"/>
        <v>4.0066022528192775</v>
      </c>
      <c r="FC107" s="755"/>
      <c r="FD107" s="755"/>
      <c r="FE107" s="755"/>
      <c r="FF107" s="755"/>
      <c r="FG107" s="755"/>
      <c r="FH107" s="755"/>
      <c r="FI107" s="755"/>
      <c r="FJ107" s="755"/>
      <c r="FK107" s="755" t="b">
        <f t="shared" si="224"/>
        <v>0</v>
      </c>
      <c r="FL107" s="755">
        <f t="shared" si="200"/>
        <v>4.111699586464626</v>
      </c>
      <c r="FM107" s="755">
        <v>86</v>
      </c>
      <c r="FN107" s="767">
        <f t="shared" si="225"/>
        <v>7</v>
      </c>
      <c r="FO107" s="673">
        <f t="shared" si="201"/>
        <v>2.888300413535374</v>
      </c>
      <c r="FP107" s="673">
        <f t="shared" si="202"/>
        <v>2.2510196371999172</v>
      </c>
      <c r="FQ107" s="766" t="b">
        <f t="shared" si="203"/>
        <v>0</v>
      </c>
      <c r="FR107" s="673"/>
      <c r="FS107" s="767">
        <f t="shared" si="204"/>
        <v>2.888300413535374</v>
      </c>
      <c r="FT107" s="766">
        <f t="shared" si="205"/>
        <v>0.17853822722220389</v>
      </c>
      <c r="FU107" s="766">
        <f t="shared" si="206"/>
        <v>1.1941342009441462E-2</v>
      </c>
      <c r="FV107" s="766">
        <f t="shared" si="207"/>
        <v>4.2977952616334081</v>
      </c>
      <c r="FW107" s="766">
        <f t="shared" si="208"/>
        <v>2.3450688288332429</v>
      </c>
      <c r="FX107" s="766">
        <f t="shared" si="209"/>
        <v>3.4629520581418536</v>
      </c>
      <c r="FY107" s="766">
        <f t="shared" si="210"/>
        <v>6.8095121545264261</v>
      </c>
      <c r="FZ107" s="766">
        <f t="shared" si="211"/>
        <v>2.0043782108714843</v>
      </c>
      <c r="GA107" s="766">
        <f t="shared" si="212"/>
        <v>2.8706470309646828</v>
      </c>
      <c r="GB107" s="766">
        <f t="shared" si="213"/>
        <v>223.17278402775486</v>
      </c>
      <c r="GC107" s="766">
        <f t="shared" si="214"/>
        <v>36.177764936900999</v>
      </c>
      <c r="GD107" s="766">
        <f t="shared" si="215"/>
        <v>6.3583021835831302</v>
      </c>
      <c r="GE107" s="766">
        <f t="shared" si="216"/>
        <v>2.8901373561741499</v>
      </c>
      <c r="GF107" s="766">
        <f t="shared" si="217"/>
        <v>3.7052804915651438</v>
      </c>
      <c r="GG107" s="766">
        <f t="shared" si="218"/>
        <v>2.888300413535374</v>
      </c>
    </row>
    <row r="108" spans="15:189">
      <c r="AN108" s="680" t="b">
        <v>1</v>
      </c>
      <c r="AO108" s="1060" t="s">
        <v>541</v>
      </c>
      <c r="AP108" s="1061"/>
      <c r="AQ108" s="681">
        <f>AQ107/2.2</f>
        <v>2.8901373561741499</v>
      </c>
      <c r="AR108" s="681">
        <f>AR107/2.2</f>
        <v>0.55896119011514789</v>
      </c>
      <c r="AS108" s="681">
        <f>AS107/2.2</f>
        <v>3.6383389370750816</v>
      </c>
      <c r="AU108" s="1064" t="s">
        <v>623</v>
      </c>
      <c r="AV108" s="1065"/>
      <c r="AW108" s="85">
        <f>IF(AY10&lt;=5,0,((AY10-5)/100)*S32*1.375*1.111*1.3)</f>
        <v>0</v>
      </c>
      <c r="AX108" s="85">
        <f>IF(AY11&lt;=5,0,((AY11-5)/100)*S52*1.375*1.111*1.3)</f>
        <v>3.3014552363432688</v>
      </c>
      <c r="AY108" s="85">
        <f>IF(AY12&lt;=5,0,((AY12-5)/100)*S72*1.375*1.111*1.3)</f>
        <v>8.7879526173972842</v>
      </c>
      <c r="AZ108" s="694"/>
      <c r="BA108" s="694"/>
      <c r="BB108" s="694"/>
      <c r="BC108" s="694"/>
      <c r="BD108" s="694"/>
      <c r="BE108" s="694"/>
      <c r="BY108" s="753" t="b">
        <f t="shared" si="219"/>
        <v>0</v>
      </c>
      <c r="BZ108" s="753">
        <f t="shared" si="148"/>
        <v>44.746659713738524</v>
      </c>
      <c r="CA108" s="751">
        <v>87</v>
      </c>
      <c r="CB108" s="752">
        <f t="shared" si="226"/>
        <v>50.5</v>
      </c>
      <c r="CC108" s="673">
        <f t="shared" si="149"/>
        <v>5.7533402862614764</v>
      </c>
      <c r="CD108" s="91">
        <f t="shared" si="150"/>
        <v>2</v>
      </c>
      <c r="CE108" s="752" t="b">
        <f t="shared" si="151"/>
        <v>0</v>
      </c>
      <c r="CF108" s="673"/>
      <c r="CG108" s="752">
        <f t="shared" si="152"/>
        <v>5.7533402862614764</v>
      </c>
      <c r="CH108" s="752">
        <f t="shared" si="153"/>
        <v>2.574552467349147E-2</v>
      </c>
      <c r="CI108" s="752">
        <f t="shared" si="154"/>
        <v>1.7219624061576943E-3</v>
      </c>
      <c r="CJ108" s="755">
        <f t="shared" si="155"/>
        <v>5.3536978644557678</v>
      </c>
      <c r="CK108" s="755">
        <f t="shared" si="156"/>
        <v>2.6248006517842799</v>
      </c>
      <c r="CL108" s="755">
        <f t="shared" si="157"/>
        <v>4.9929194413794891</v>
      </c>
      <c r="CM108" s="755">
        <f t="shared" si="158"/>
        <v>9.8180237704151896</v>
      </c>
      <c r="CN108" s="755">
        <f t="shared" si="159"/>
        <v>2.5955662665583916</v>
      </c>
      <c r="CO108" s="755">
        <f t="shared" si="160"/>
        <v>3.6885723271624458</v>
      </c>
      <c r="CP108" s="755">
        <f t="shared" si="144"/>
        <v>32.181905841864335</v>
      </c>
      <c r="CQ108" s="755">
        <f t="shared" si="161"/>
        <v>5.2168969878677265</v>
      </c>
      <c r="CR108" s="755">
        <f t="shared" si="145"/>
        <v>44.093100233798822</v>
      </c>
      <c r="CS108" s="755">
        <f t="shared" si="162"/>
        <v>20.042318288090371</v>
      </c>
      <c r="CT108" s="755">
        <f t="shared" si="146"/>
        <v>5.7533402862614764</v>
      </c>
      <c r="CU108" s="755">
        <f t="shared" si="147"/>
        <v>4.0128799503663162</v>
      </c>
      <c r="CX108" s="755"/>
      <c r="CY108" s="755"/>
      <c r="CZ108" s="755"/>
      <c r="DA108" s="755"/>
      <c r="DB108" s="755"/>
      <c r="DC108" s="755"/>
      <c r="DD108" s="755" t="b">
        <f t="shared" si="220"/>
        <v>0</v>
      </c>
      <c r="DE108" s="755">
        <f t="shared" si="163"/>
        <v>3.4024143592296889</v>
      </c>
      <c r="DF108" s="755">
        <v>87</v>
      </c>
      <c r="DG108" s="755">
        <f t="shared" si="221"/>
        <v>6.5</v>
      </c>
      <c r="DH108" s="673">
        <f t="shared" si="164"/>
        <v>3.0975856407703111</v>
      </c>
      <c r="DI108" s="673">
        <f t="shared" si="165"/>
        <v>2</v>
      </c>
      <c r="DJ108" s="766" t="b">
        <f t="shared" si="166"/>
        <v>0</v>
      </c>
      <c r="DK108" s="673"/>
      <c r="DL108" s="766">
        <f t="shared" si="167"/>
        <v>3.0975856407703111</v>
      </c>
      <c r="DM108" s="766">
        <f t="shared" si="168"/>
        <v>0.191987170428321</v>
      </c>
      <c r="DN108" s="766">
        <f t="shared" si="169"/>
        <v>1.2840860465452131E-2</v>
      </c>
      <c r="DO108" s="766">
        <f t="shared" si="170"/>
        <v>4.2291761603255953</v>
      </c>
      <c r="DP108" s="766">
        <f t="shared" si="171"/>
        <v>2.3245162353676228</v>
      </c>
      <c r="DQ108" s="766">
        <f t="shared" si="172"/>
        <v>3.0214258720588063</v>
      </c>
      <c r="DR108" s="766">
        <f t="shared" si="173"/>
        <v>5.9412997507175564</v>
      </c>
      <c r="DS108" s="766">
        <f t="shared" si="174"/>
        <v>1.9847358591242905</v>
      </c>
      <c r="DT108" s="766">
        <f t="shared" si="175"/>
        <v>2.8435427002298086</v>
      </c>
      <c r="DU108" s="766">
        <f t="shared" si="176"/>
        <v>239.98396303540125</v>
      </c>
      <c r="DV108" s="766">
        <f t="shared" si="177"/>
        <v>38.902966780398003</v>
      </c>
      <c r="DW108" s="766">
        <f t="shared" si="178"/>
        <v>5.9128951037060595</v>
      </c>
      <c r="DX108" s="766">
        <f t="shared" si="179"/>
        <v>2.6876795925936632</v>
      </c>
      <c r="DY108" s="766">
        <f t="shared" si="180"/>
        <v>3.0975856407703111</v>
      </c>
      <c r="DZ108" s="766">
        <f t="shared" si="181"/>
        <v>2.8505829514675436</v>
      </c>
      <c r="EB108" s="755"/>
      <c r="EC108" s="755"/>
      <c r="ED108" s="755"/>
      <c r="EE108" s="755"/>
      <c r="EF108" s="755" t="b">
        <f t="shared" si="222"/>
        <v>0</v>
      </c>
      <c r="EG108" s="755">
        <f t="shared" si="182"/>
        <v>44.746659713738524</v>
      </c>
      <c r="EH108" s="755">
        <v>87</v>
      </c>
      <c r="EI108" s="755">
        <f t="shared" si="227"/>
        <v>50.5</v>
      </c>
      <c r="EJ108" s="673">
        <f t="shared" si="183"/>
        <v>5.7533402862614764</v>
      </c>
      <c r="EK108" s="673">
        <f t="shared" si="184"/>
        <v>2.2510196371999172</v>
      </c>
      <c r="EL108" s="755" t="b">
        <f t="shared" si="185"/>
        <v>0</v>
      </c>
      <c r="EM108" s="673"/>
      <c r="EN108" s="755">
        <f t="shared" si="186"/>
        <v>5.7533402862614764</v>
      </c>
      <c r="EO108" s="755">
        <f t="shared" si="187"/>
        <v>2.574552467349147E-2</v>
      </c>
      <c r="EP108" s="755">
        <f t="shared" si="188"/>
        <v>1.7219624061576943E-3</v>
      </c>
      <c r="EQ108" s="755">
        <f t="shared" si="189"/>
        <v>5.3536978644557678</v>
      </c>
      <c r="ER108" s="755">
        <f t="shared" si="190"/>
        <v>2.6248006517842799</v>
      </c>
      <c r="ES108" s="755">
        <f t="shared" si="191"/>
        <v>4.9929194413794891</v>
      </c>
      <c r="ET108" s="755">
        <f t="shared" si="192"/>
        <v>9.8180237704151896</v>
      </c>
      <c r="EU108" s="755">
        <f t="shared" si="193"/>
        <v>2.5955662665583916</v>
      </c>
      <c r="EV108" s="755">
        <f t="shared" si="194"/>
        <v>3.6885723271624458</v>
      </c>
      <c r="EW108" s="755">
        <f t="shared" si="195"/>
        <v>32.181905841864335</v>
      </c>
      <c r="EX108" s="755">
        <f t="shared" si="196"/>
        <v>5.2168969878677265</v>
      </c>
      <c r="EY108" s="755">
        <f t="shared" si="223"/>
        <v>44.093100233798822</v>
      </c>
      <c r="EZ108" s="755">
        <f t="shared" si="197"/>
        <v>20.042318288090371</v>
      </c>
      <c r="FA108" s="755">
        <f t="shared" si="198"/>
        <v>5.7533402862614764</v>
      </c>
      <c r="FB108" s="755">
        <f t="shared" si="199"/>
        <v>4.0128799503663162</v>
      </c>
      <c r="FC108" s="755"/>
      <c r="FD108" s="755"/>
      <c r="FE108" s="755"/>
      <c r="FF108" s="755"/>
      <c r="FG108" s="755"/>
      <c r="FH108" s="755"/>
      <c r="FI108" s="755"/>
      <c r="FJ108" s="755"/>
      <c r="FK108" s="755" t="b">
        <f t="shared" si="224"/>
        <v>0</v>
      </c>
      <c r="FL108" s="755">
        <f t="shared" si="200"/>
        <v>3.6494170485324564</v>
      </c>
      <c r="FM108" s="755">
        <v>87</v>
      </c>
      <c r="FN108" s="767">
        <f t="shared" si="225"/>
        <v>6.5</v>
      </c>
      <c r="FO108" s="673">
        <f t="shared" si="201"/>
        <v>2.8505829514675436</v>
      </c>
      <c r="FP108" s="673">
        <f t="shared" si="202"/>
        <v>2.2510196371999172</v>
      </c>
      <c r="FQ108" s="766" t="b">
        <f t="shared" si="203"/>
        <v>0</v>
      </c>
      <c r="FR108" s="673"/>
      <c r="FS108" s="767">
        <f t="shared" si="204"/>
        <v>2.8505829514675436</v>
      </c>
      <c r="FT108" s="766">
        <f t="shared" si="205"/>
        <v>0.191987170428321</v>
      </c>
      <c r="FU108" s="766">
        <f t="shared" si="206"/>
        <v>1.2840860465452131E-2</v>
      </c>
      <c r="FV108" s="766">
        <f t="shared" si="207"/>
        <v>4.2291761603255953</v>
      </c>
      <c r="FW108" s="766">
        <f t="shared" si="208"/>
        <v>2.3245162353676228</v>
      </c>
      <c r="FX108" s="766">
        <f t="shared" si="209"/>
        <v>3.4006444851741287</v>
      </c>
      <c r="FY108" s="766">
        <f t="shared" si="210"/>
        <v>6.6869912046780957</v>
      </c>
      <c r="FZ108" s="766">
        <f t="shared" si="211"/>
        <v>1.9847358591242905</v>
      </c>
      <c r="GA108" s="766">
        <f t="shared" si="212"/>
        <v>2.8435427002298086</v>
      </c>
      <c r="GB108" s="766">
        <f t="shared" si="213"/>
        <v>239.98396303540125</v>
      </c>
      <c r="GC108" s="766">
        <f t="shared" si="214"/>
        <v>38.902966780398003</v>
      </c>
      <c r="GD108" s="766">
        <f t="shared" si="215"/>
        <v>5.9128951037060595</v>
      </c>
      <c r="GE108" s="766">
        <f t="shared" si="216"/>
        <v>2.6876795925936632</v>
      </c>
      <c r="GF108" s="766">
        <f t="shared" si="217"/>
        <v>3.619985738982733</v>
      </c>
      <c r="GG108" s="766">
        <f t="shared" si="218"/>
        <v>2.8505829514675436</v>
      </c>
    </row>
    <row r="109" spans="15:189" ht="15" thickBot="1">
      <c r="AN109" s="680" t="b">
        <v>1</v>
      </c>
      <c r="AO109" s="1062" t="s">
        <v>619</v>
      </c>
      <c r="AP109" s="1063"/>
      <c r="AQ109" s="682">
        <f>((100*(-0.0126+0.01475*(X7*((1/AQ102)^0.25))))/(1+(-0.0126+0.01475*(X7*((1/AQ102)^0.25)))))</f>
        <v>3.1741998387301842</v>
      </c>
      <c r="AR109" s="682">
        <f>((100*(-0.0126+0.01475*(X8*((1/AR102)^0.25))))/(1+(-0.0126+0.01475*(X8*((1/AR102)^0.25)))))</f>
        <v>26.221856578531987</v>
      </c>
      <c r="AS109" s="682">
        <f>((100*(-0.0126+0.01475*(X9*((1/AS102)^0.25))))/(1+(-0.0126+0.01475*(X9*((1/AS102)^0.25)))))</f>
        <v>34.593716345159123</v>
      </c>
      <c r="AU109" s="1064" t="s">
        <v>624</v>
      </c>
      <c r="AV109" s="1065"/>
      <c r="AW109" s="85">
        <f>IF(AY10&lt;=5,0,(0.0086*1.3*0.1*('Soil Water Parameters'!AE33/1000)*(S32*10)*(AY10-5)))</f>
        <v>0</v>
      </c>
      <c r="AX109" s="85">
        <f>IF(AY11&lt;=5,0,(0.0086*1.3*0.1*('Soil Water Parameters'!AE51/1000)*(S52*10)*(AY11-5)))</f>
        <v>2.9677126744634421</v>
      </c>
      <c r="AY109" s="85">
        <f>IF(AY12&lt;=5,0,(0.0086*1.3*0.1*('Soil Water Parameters'!AE69/1000)*(S72*10)*(AY12-5)))</f>
        <v>7.7077942839928051</v>
      </c>
      <c r="AZ109" s="694"/>
      <c r="BA109" s="694"/>
      <c r="BB109" s="694"/>
      <c r="BC109" s="694"/>
      <c r="BD109" s="694"/>
      <c r="BE109" s="694"/>
      <c r="BY109" s="753" t="b">
        <f t="shared" si="219"/>
        <v>0</v>
      </c>
      <c r="BZ109" s="753">
        <f t="shared" si="148"/>
        <v>45.230853294987568</v>
      </c>
      <c r="CA109" s="751">
        <v>88</v>
      </c>
      <c r="CB109" s="752">
        <f t="shared" si="226"/>
        <v>51</v>
      </c>
      <c r="CC109" s="673">
        <f t="shared" si="149"/>
        <v>5.7691467050124352</v>
      </c>
      <c r="CD109" s="91">
        <f t="shared" si="150"/>
        <v>2</v>
      </c>
      <c r="CE109" s="752" t="b">
        <f t="shared" si="151"/>
        <v>0</v>
      </c>
      <c r="CF109" s="673"/>
      <c r="CG109" s="752">
        <f t="shared" si="152"/>
        <v>5.7691467050124352</v>
      </c>
      <c r="CH109" s="752">
        <f t="shared" si="153"/>
        <v>2.5498141378824685E-2</v>
      </c>
      <c r="CI109" s="752">
        <f t="shared" si="154"/>
        <v>1.7054164340429274E-3</v>
      </c>
      <c r="CJ109" s="755">
        <f t="shared" si="155"/>
        <v>5.3559809560881986</v>
      </c>
      <c r="CK109" s="755">
        <f t="shared" si="156"/>
        <v>2.6253379842730884</v>
      </c>
      <c r="CL109" s="755">
        <f t="shared" si="157"/>
        <v>5.0049859706919886</v>
      </c>
      <c r="CM109" s="755">
        <f t="shared" si="158"/>
        <v>9.8417512655225021</v>
      </c>
      <c r="CN109" s="755">
        <f t="shared" si="159"/>
        <v>2.5988685342838425</v>
      </c>
      <c r="CO109" s="755">
        <f t="shared" si="160"/>
        <v>3.6931512953004977</v>
      </c>
      <c r="CP109" s="755">
        <f t="shared" si="144"/>
        <v>31.872676723530855</v>
      </c>
      <c r="CQ109" s="755">
        <f t="shared" si="161"/>
        <v>5.166768929451238</v>
      </c>
      <c r="CR109" s="755">
        <f t="shared" si="145"/>
        <v>44.520892057753819</v>
      </c>
      <c r="CS109" s="755">
        <f t="shared" si="162"/>
        <v>20.236769117160826</v>
      </c>
      <c r="CT109" s="755">
        <f t="shared" si="146"/>
        <v>5.7691467050124352</v>
      </c>
      <c r="CU109" s="755">
        <f t="shared" si="147"/>
        <v>4.0191023429866553</v>
      </c>
      <c r="CX109" s="755"/>
      <c r="CY109" s="755"/>
      <c r="CZ109" s="755"/>
      <c r="DA109" s="755"/>
      <c r="DB109" s="755"/>
      <c r="DC109" s="755"/>
      <c r="DD109" s="755" t="b">
        <f t="shared" si="220"/>
        <v>0</v>
      </c>
      <c r="DE109" s="755">
        <f t="shared" si="163"/>
        <v>2.9837487064610841</v>
      </c>
      <c r="DF109" s="755">
        <v>88</v>
      </c>
      <c r="DG109" s="755">
        <f t="shared" si="221"/>
        <v>6</v>
      </c>
      <c r="DH109" s="673">
        <f t="shared" si="164"/>
        <v>3.0162512935389159</v>
      </c>
      <c r="DI109" s="673">
        <f t="shared" si="165"/>
        <v>2</v>
      </c>
      <c r="DJ109" s="766" t="b">
        <f t="shared" si="166"/>
        <v>0</v>
      </c>
      <c r="DK109" s="673"/>
      <c r="DL109" s="766">
        <f t="shared" si="167"/>
        <v>3.0162512935389159</v>
      </c>
      <c r="DM109" s="766">
        <f t="shared" si="168"/>
        <v>0.20765341224759479</v>
      </c>
      <c r="DN109" s="766">
        <f t="shared" si="169"/>
        <v>1.3888680612863658E-2</v>
      </c>
      <c r="DO109" s="766">
        <f t="shared" si="170"/>
        <v>4.1527337303215335</v>
      </c>
      <c r="DP109" s="766">
        <f t="shared" si="171"/>
        <v>2.3012432335192203</v>
      </c>
      <c r="DQ109" s="766">
        <f t="shared" si="172"/>
        <v>2.9627515067415722</v>
      </c>
      <c r="DR109" s="766">
        <f t="shared" si="173"/>
        <v>5.8259231018126307</v>
      </c>
      <c r="DS109" s="766">
        <f t="shared" si="174"/>
        <v>1.9637082325267965</v>
      </c>
      <c r="DT109" s="766">
        <f t="shared" si="175"/>
        <v>2.8145326069437977</v>
      </c>
      <c r="DU109" s="766">
        <f t="shared" si="176"/>
        <v>259.56676530949346</v>
      </c>
      <c r="DV109" s="766">
        <f t="shared" si="177"/>
        <v>42.077466845736666</v>
      </c>
      <c r="DW109" s="766">
        <f t="shared" si="178"/>
        <v>5.4668015695617296</v>
      </c>
      <c r="DX109" s="766">
        <f t="shared" si="179"/>
        <v>2.4849098043462403</v>
      </c>
      <c r="DY109" s="766">
        <f t="shared" si="180"/>
        <v>3.0162512935389159</v>
      </c>
      <c r="DZ109" s="766">
        <f t="shared" si="181"/>
        <v>2.8101810209126938</v>
      </c>
      <c r="EB109" s="755"/>
      <c r="EC109" s="755"/>
      <c r="ED109" s="755"/>
      <c r="EE109" s="755"/>
      <c r="EF109" s="755" t="b">
        <f t="shared" si="222"/>
        <v>0</v>
      </c>
      <c r="EG109" s="755">
        <f t="shared" si="182"/>
        <v>45.230853294987568</v>
      </c>
      <c r="EH109" s="755">
        <v>88</v>
      </c>
      <c r="EI109" s="755">
        <f t="shared" si="227"/>
        <v>51</v>
      </c>
      <c r="EJ109" s="673">
        <f t="shared" si="183"/>
        <v>5.7691467050124352</v>
      </c>
      <c r="EK109" s="673">
        <f t="shared" si="184"/>
        <v>2.2510196371999172</v>
      </c>
      <c r="EL109" s="755" t="b">
        <f t="shared" si="185"/>
        <v>0</v>
      </c>
      <c r="EM109" s="673"/>
      <c r="EN109" s="755">
        <f t="shared" si="186"/>
        <v>5.7691467050124352</v>
      </c>
      <c r="EO109" s="755">
        <f t="shared" si="187"/>
        <v>2.5498141378824685E-2</v>
      </c>
      <c r="EP109" s="755">
        <f t="shared" si="188"/>
        <v>1.7054164340429274E-3</v>
      </c>
      <c r="EQ109" s="755">
        <f t="shared" si="189"/>
        <v>5.3559809560881986</v>
      </c>
      <c r="ER109" s="755">
        <f t="shared" si="190"/>
        <v>2.6253379842730884</v>
      </c>
      <c r="ES109" s="755">
        <f t="shared" si="191"/>
        <v>5.0049859706919886</v>
      </c>
      <c r="ET109" s="755">
        <f t="shared" si="192"/>
        <v>9.8417512655225021</v>
      </c>
      <c r="EU109" s="755">
        <f t="shared" si="193"/>
        <v>2.5988685342838425</v>
      </c>
      <c r="EV109" s="755">
        <f t="shared" si="194"/>
        <v>3.6931512953004977</v>
      </c>
      <c r="EW109" s="755">
        <f t="shared" si="195"/>
        <v>31.872676723530855</v>
      </c>
      <c r="EX109" s="755">
        <f t="shared" si="196"/>
        <v>5.166768929451238</v>
      </c>
      <c r="EY109" s="755">
        <f t="shared" si="223"/>
        <v>44.520892057753819</v>
      </c>
      <c r="EZ109" s="755">
        <f t="shared" si="197"/>
        <v>20.236769117160826</v>
      </c>
      <c r="FA109" s="755">
        <f t="shared" si="198"/>
        <v>5.7691467050124352</v>
      </c>
      <c r="FB109" s="755">
        <f t="shared" si="199"/>
        <v>4.0191023429866553</v>
      </c>
      <c r="FC109" s="755"/>
      <c r="FD109" s="755"/>
      <c r="FE109" s="755"/>
      <c r="FF109" s="755"/>
      <c r="FG109" s="755"/>
      <c r="FH109" s="755"/>
      <c r="FI109" s="755"/>
      <c r="FJ109" s="755"/>
      <c r="FK109" s="755" t="b">
        <f t="shared" si="224"/>
        <v>0</v>
      </c>
      <c r="FL109" s="755">
        <f t="shared" si="200"/>
        <v>3.1898189790873062</v>
      </c>
      <c r="FM109" s="755">
        <v>88</v>
      </c>
      <c r="FN109" s="767">
        <f t="shared" si="225"/>
        <v>6</v>
      </c>
      <c r="FO109" s="673">
        <f t="shared" si="201"/>
        <v>2.8101810209126938</v>
      </c>
      <c r="FP109" s="673">
        <f t="shared" si="202"/>
        <v>2.2510196371999172</v>
      </c>
      <c r="FQ109" s="766" t="b">
        <f t="shared" si="203"/>
        <v>0</v>
      </c>
      <c r="FR109" s="673"/>
      <c r="FS109" s="767">
        <f t="shared" si="204"/>
        <v>2.8101810209126938</v>
      </c>
      <c r="FT109" s="766">
        <f t="shared" si="205"/>
        <v>0.20765341224759479</v>
      </c>
      <c r="FU109" s="766">
        <f t="shared" si="206"/>
        <v>1.3888680612863658E-2</v>
      </c>
      <c r="FV109" s="766">
        <f t="shared" si="207"/>
        <v>4.1527337303215335</v>
      </c>
      <c r="FW109" s="766">
        <f t="shared" si="208"/>
        <v>2.3012432335192203</v>
      </c>
      <c r="FX109" s="766">
        <f t="shared" si="209"/>
        <v>3.334605910909461</v>
      </c>
      <c r="FY109" s="766">
        <f t="shared" si="210"/>
        <v>6.5571336534984423</v>
      </c>
      <c r="FZ109" s="766">
        <f t="shared" si="211"/>
        <v>1.9637082325267965</v>
      </c>
      <c r="GA109" s="766">
        <f t="shared" si="212"/>
        <v>2.8145326069437977</v>
      </c>
      <c r="GB109" s="766">
        <f t="shared" si="213"/>
        <v>259.56676530949346</v>
      </c>
      <c r="GC109" s="766">
        <f t="shared" si="214"/>
        <v>42.077466845736666</v>
      </c>
      <c r="GD109" s="766">
        <f t="shared" si="215"/>
        <v>5.4668015695617296</v>
      </c>
      <c r="GE109" s="766">
        <f t="shared" si="216"/>
        <v>2.4849098043462403</v>
      </c>
      <c r="GF109" s="766">
        <f t="shared" si="217"/>
        <v>3.5294184032948985</v>
      </c>
      <c r="GG109" s="766">
        <f t="shared" si="218"/>
        <v>2.8101810209126938</v>
      </c>
    </row>
    <row r="110" spans="15:189">
      <c r="AN110" s="680"/>
      <c r="AO110" s="89" t="s">
        <v>620</v>
      </c>
      <c r="AP110" s="680"/>
      <c r="AQ110" s="86">
        <f>((100*(-0.0126+0.01475*BA53)/(1+(-0.0126+0.01475*BA53))))</f>
        <v>2.888300413535374</v>
      </c>
      <c r="AR110" s="86">
        <f>((100*(-0.0126+0.01475*BB53)/(1+(-0.0126+0.01475*BB53))))</f>
        <v>32.110567567294041</v>
      </c>
      <c r="AS110" s="86">
        <f>((100*(-0.0126+0.01475*BC53)/(1+(-0.0126+0.01475*BC53))))</f>
        <v>36.76853370260222</v>
      </c>
      <c r="AU110" s="230"/>
      <c r="AV110" s="132"/>
      <c r="AW110" s="694"/>
      <c r="AX110" s="694"/>
      <c r="AY110" s="694"/>
      <c r="AZ110" s="694"/>
      <c r="BA110" s="694"/>
      <c r="BB110" s="694"/>
      <c r="BC110" s="694"/>
      <c r="BD110" s="694"/>
      <c r="BE110" s="694"/>
      <c r="BY110" s="753" t="b">
        <f t="shared" si="219"/>
        <v>0</v>
      </c>
      <c r="BZ110" s="753">
        <f t="shared" si="148"/>
        <v>45.715168687862786</v>
      </c>
      <c r="CA110" s="751">
        <v>89</v>
      </c>
      <c r="CB110" s="752">
        <f t="shared" si="226"/>
        <v>51.5</v>
      </c>
      <c r="CC110" s="673">
        <f t="shared" si="149"/>
        <v>5.784831312137217</v>
      </c>
      <c r="CD110" s="91">
        <f t="shared" si="150"/>
        <v>2</v>
      </c>
      <c r="CE110" s="752" t="b">
        <f t="shared" si="151"/>
        <v>0</v>
      </c>
      <c r="CF110" s="673"/>
      <c r="CG110" s="752">
        <f t="shared" si="152"/>
        <v>5.784831312137217</v>
      </c>
      <c r="CH110" s="752">
        <f t="shared" si="153"/>
        <v>2.5255514071681254E-2</v>
      </c>
      <c r="CI110" s="752">
        <f t="shared" si="154"/>
        <v>1.6891885611637842E-3</v>
      </c>
      <c r="CJ110" s="755">
        <f t="shared" si="155"/>
        <v>5.3582226154299839</v>
      </c>
      <c r="CK110" s="755">
        <f t="shared" si="156"/>
        <v>2.6258653071215559</v>
      </c>
      <c r="CL110" s="755">
        <f t="shared" si="157"/>
        <v>5.01696351181383</v>
      </c>
      <c r="CM110" s="755">
        <f t="shared" si="158"/>
        <v>9.8653037751966561</v>
      </c>
      <c r="CN110" s="755">
        <f t="shared" si="159"/>
        <v>2.6021423465336579</v>
      </c>
      <c r="CO110" s="755">
        <f t="shared" si="160"/>
        <v>3.6976909032870262</v>
      </c>
      <c r="CP110" s="755">
        <f t="shared" si="144"/>
        <v>31.569392589601566</v>
      </c>
      <c r="CQ110" s="755">
        <f t="shared" si="161"/>
        <v>5.1176045918095081</v>
      </c>
      <c r="CR110" s="755">
        <f t="shared" si="145"/>
        <v>44.948600007825142</v>
      </c>
      <c r="CS110" s="755">
        <f t="shared" si="162"/>
        <v>20.431181821738701</v>
      </c>
      <c r="CT110" s="755">
        <f t="shared" si="146"/>
        <v>5.784831312137217</v>
      </c>
      <c r="CU110" s="755">
        <f t="shared" si="147"/>
        <v>4.0252704525014815</v>
      </c>
      <c r="CX110" s="755"/>
      <c r="CY110" s="755"/>
      <c r="CZ110" s="755"/>
      <c r="DA110" s="755"/>
      <c r="DB110" s="755"/>
      <c r="DC110" s="755"/>
      <c r="DD110" s="755" t="b">
        <f t="shared" si="220"/>
        <v>0</v>
      </c>
      <c r="DE110" s="755">
        <f t="shared" si="163"/>
        <v>2.5705237496418225</v>
      </c>
      <c r="DF110" s="755">
        <v>89</v>
      </c>
      <c r="DG110" s="755">
        <f t="shared" si="221"/>
        <v>5.5</v>
      </c>
      <c r="DH110" s="673">
        <f t="shared" si="164"/>
        <v>2.9294762503581775</v>
      </c>
      <c r="DI110" s="673">
        <f t="shared" si="165"/>
        <v>2</v>
      </c>
      <c r="DJ110" s="766" t="b">
        <f t="shared" si="166"/>
        <v>0</v>
      </c>
      <c r="DK110" s="673"/>
      <c r="DL110" s="766">
        <f t="shared" si="167"/>
        <v>2.9294762503581775</v>
      </c>
      <c r="DM110" s="766">
        <f t="shared" si="168"/>
        <v>0.22613712251619456</v>
      </c>
      <c r="DN110" s="766">
        <f t="shared" si="169"/>
        <v>1.5124944181483461E-2</v>
      </c>
      <c r="DO110" s="766">
        <f t="shared" si="170"/>
        <v>4.0670138107039113</v>
      </c>
      <c r="DP110" s="766">
        <f t="shared" si="171"/>
        <v>2.2746634314079071</v>
      </c>
      <c r="DQ110" s="766">
        <f t="shared" si="172"/>
        <v>2.9002606500632138</v>
      </c>
      <c r="DR110" s="766">
        <f t="shared" si="173"/>
        <v>5.7030417448219755</v>
      </c>
      <c r="DS110" s="766">
        <f t="shared" si="174"/>
        <v>1.941068876268049</v>
      </c>
      <c r="DT110" s="766">
        <f t="shared" si="175"/>
        <v>2.7833056827053224</v>
      </c>
      <c r="DU110" s="766">
        <f t="shared" si="176"/>
        <v>282.67140314524318</v>
      </c>
      <c r="DV110" s="766">
        <f t="shared" si="177"/>
        <v>45.82287944259717</v>
      </c>
      <c r="DW110" s="766">
        <f t="shared" si="178"/>
        <v>5.0199630532519217</v>
      </c>
      <c r="DX110" s="766">
        <f t="shared" si="179"/>
        <v>2.2818013878417824</v>
      </c>
      <c r="DY110" s="766">
        <f t="shared" si="180"/>
        <v>2.9294762503581775</v>
      </c>
      <c r="DZ110" s="766">
        <f t="shared" si="181"/>
        <v>2.7666541714576156</v>
      </c>
      <c r="EB110" s="755"/>
      <c r="EC110" s="755"/>
      <c r="ED110" s="755"/>
      <c r="EE110" s="755"/>
      <c r="EF110" s="755" t="b">
        <f t="shared" si="222"/>
        <v>0</v>
      </c>
      <c r="EG110" s="755">
        <f t="shared" si="182"/>
        <v>45.715168687862786</v>
      </c>
      <c r="EH110" s="755">
        <v>89</v>
      </c>
      <c r="EI110" s="755">
        <f t="shared" si="227"/>
        <v>51.5</v>
      </c>
      <c r="EJ110" s="673">
        <f t="shared" si="183"/>
        <v>5.784831312137217</v>
      </c>
      <c r="EK110" s="673">
        <f t="shared" si="184"/>
        <v>2.2510196371999172</v>
      </c>
      <c r="EL110" s="755" t="b">
        <f t="shared" si="185"/>
        <v>0</v>
      </c>
      <c r="EM110" s="673"/>
      <c r="EN110" s="755">
        <f t="shared" si="186"/>
        <v>5.784831312137217</v>
      </c>
      <c r="EO110" s="755">
        <f t="shared" si="187"/>
        <v>2.5255514071681254E-2</v>
      </c>
      <c r="EP110" s="755">
        <f t="shared" si="188"/>
        <v>1.6891885611637842E-3</v>
      </c>
      <c r="EQ110" s="755">
        <f t="shared" si="189"/>
        <v>5.3582226154299839</v>
      </c>
      <c r="ER110" s="755">
        <f t="shared" si="190"/>
        <v>2.6258653071215559</v>
      </c>
      <c r="ES110" s="755">
        <f t="shared" si="191"/>
        <v>5.01696351181383</v>
      </c>
      <c r="ET110" s="755">
        <f t="shared" si="192"/>
        <v>9.8653037751966561</v>
      </c>
      <c r="EU110" s="755">
        <f t="shared" si="193"/>
        <v>2.6021423465336579</v>
      </c>
      <c r="EV110" s="755">
        <f t="shared" si="194"/>
        <v>3.6976909032870262</v>
      </c>
      <c r="EW110" s="755">
        <f t="shared" si="195"/>
        <v>31.569392589601566</v>
      </c>
      <c r="EX110" s="755">
        <f t="shared" si="196"/>
        <v>5.1176045918095081</v>
      </c>
      <c r="EY110" s="755">
        <f t="shared" si="223"/>
        <v>44.948600007825142</v>
      </c>
      <c r="EZ110" s="755">
        <f t="shared" si="197"/>
        <v>20.431181821738701</v>
      </c>
      <c r="FA110" s="755">
        <f t="shared" si="198"/>
        <v>5.784831312137217</v>
      </c>
      <c r="FB110" s="755">
        <f t="shared" si="199"/>
        <v>4.0252704525014815</v>
      </c>
      <c r="FC110" s="755"/>
      <c r="FD110" s="755"/>
      <c r="FE110" s="755"/>
      <c r="FF110" s="755"/>
      <c r="FG110" s="755"/>
      <c r="FH110" s="755"/>
      <c r="FI110" s="755"/>
      <c r="FJ110" s="755"/>
      <c r="FK110" s="755" t="b">
        <f t="shared" si="224"/>
        <v>0</v>
      </c>
      <c r="FL110" s="755">
        <f t="shared" si="200"/>
        <v>2.7333458285423844</v>
      </c>
      <c r="FM110" s="755">
        <v>89</v>
      </c>
      <c r="FN110" s="767">
        <f t="shared" si="225"/>
        <v>5.5</v>
      </c>
      <c r="FO110" s="673">
        <f t="shared" si="201"/>
        <v>2.7666541714576156</v>
      </c>
      <c r="FP110" s="673">
        <f t="shared" si="202"/>
        <v>2.2510196371999172</v>
      </c>
      <c r="FQ110" s="766" t="b">
        <f t="shared" si="203"/>
        <v>0</v>
      </c>
      <c r="FR110" s="673"/>
      <c r="FS110" s="767">
        <f t="shared" si="204"/>
        <v>2.7666541714576156</v>
      </c>
      <c r="FT110" s="766">
        <f t="shared" si="205"/>
        <v>0.22613712251619456</v>
      </c>
      <c r="FU110" s="766">
        <f t="shared" si="206"/>
        <v>1.5124944181483461E-2</v>
      </c>
      <c r="FV110" s="766">
        <f t="shared" si="207"/>
        <v>4.0670138107039113</v>
      </c>
      <c r="FW110" s="766">
        <f t="shared" si="208"/>
        <v>2.2746634314079071</v>
      </c>
      <c r="FX110" s="766">
        <f t="shared" si="209"/>
        <v>3.2642718381452456</v>
      </c>
      <c r="FY110" s="766">
        <f t="shared" si="210"/>
        <v>6.4188294796825724</v>
      </c>
      <c r="FZ110" s="766">
        <f t="shared" si="211"/>
        <v>1.941068876268049</v>
      </c>
      <c r="GA110" s="766">
        <f t="shared" si="212"/>
        <v>2.7833056827053224</v>
      </c>
      <c r="GB110" s="766">
        <f t="shared" si="213"/>
        <v>282.67140314524318</v>
      </c>
      <c r="GC110" s="766">
        <f t="shared" si="214"/>
        <v>45.82287944259717</v>
      </c>
      <c r="GD110" s="766">
        <f t="shared" si="215"/>
        <v>5.0199630532519217</v>
      </c>
      <c r="GE110" s="766">
        <f t="shared" si="216"/>
        <v>2.2818013878417824</v>
      </c>
      <c r="GF110" s="766">
        <f t="shared" si="217"/>
        <v>3.4327727234915435</v>
      </c>
      <c r="GG110" s="766">
        <f t="shared" si="218"/>
        <v>2.7666541714576156</v>
      </c>
    </row>
    <row r="111" spans="15:189">
      <c r="AM111" s="705"/>
      <c r="AN111" s="705"/>
      <c r="AO111" s="705"/>
      <c r="AP111" s="705"/>
      <c r="AQ111" s="705"/>
      <c r="AR111" s="705"/>
      <c r="AS111" s="705"/>
      <c r="AT111" s="705"/>
      <c r="AU111" s="705"/>
      <c r="AV111" s="705"/>
      <c r="AW111" s="705"/>
      <c r="AX111" s="705"/>
      <c r="AY111" s="705"/>
      <c r="AZ111" s="705"/>
      <c r="BA111" s="705"/>
      <c r="BB111" s="705"/>
      <c r="BC111" s="705"/>
      <c r="BD111" s="705"/>
      <c r="BE111" s="705"/>
      <c r="BF111" s="705"/>
      <c r="BG111" s="705"/>
      <c r="BH111" s="705"/>
      <c r="BI111" s="705"/>
      <c r="BJ111" s="705"/>
      <c r="BK111" s="705"/>
      <c r="BL111" s="705"/>
      <c r="BM111" s="705"/>
      <c r="BN111" s="705"/>
      <c r="BO111" s="705"/>
      <c r="BP111" s="705"/>
      <c r="BQ111" s="705"/>
      <c r="BY111" s="753" t="b">
        <f t="shared" si="219"/>
        <v>0</v>
      </c>
      <c r="BZ111" s="753">
        <f t="shared" si="148"/>
        <v>46.199603796010472</v>
      </c>
      <c r="CA111" s="751">
        <v>90</v>
      </c>
      <c r="CB111" s="752">
        <f t="shared" si="226"/>
        <v>52</v>
      </c>
      <c r="CC111" s="673">
        <f t="shared" si="149"/>
        <v>5.8003962039895303</v>
      </c>
      <c r="CD111" s="91">
        <f t="shared" si="150"/>
        <v>2</v>
      </c>
      <c r="CE111" s="752" t="b">
        <f t="shared" si="151"/>
        <v>0</v>
      </c>
      <c r="CF111" s="673"/>
      <c r="CG111" s="752">
        <f t="shared" si="152"/>
        <v>5.8003962039895303</v>
      </c>
      <c r="CH111" s="752">
        <f t="shared" si="153"/>
        <v>2.50175064615367E-2</v>
      </c>
      <c r="CI111" s="752">
        <f t="shared" si="154"/>
        <v>1.673269671871528E-3</v>
      </c>
      <c r="CJ111" s="755">
        <f t="shared" si="155"/>
        <v>5.360423964584724</v>
      </c>
      <c r="CK111" s="755">
        <f t="shared" si="156"/>
        <v>2.6263828984413942</v>
      </c>
      <c r="CL111" s="755">
        <f t="shared" si="157"/>
        <v>5.028853575504006</v>
      </c>
      <c r="CM111" s="755">
        <f t="shared" si="158"/>
        <v>9.8886842701780964</v>
      </c>
      <c r="CN111" s="755">
        <f t="shared" si="159"/>
        <v>2.6053882215158932</v>
      </c>
      <c r="CO111" s="755">
        <f t="shared" si="160"/>
        <v>3.7021918669813525</v>
      </c>
      <c r="CP111" s="755">
        <f t="shared" si="144"/>
        <v>31.271883076920876</v>
      </c>
      <c r="CQ111" s="755">
        <f t="shared" si="161"/>
        <v>5.0693763579630575</v>
      </c>
      <c r="CR111" s="755">
        <f t="shared" si="145"/>
        <v>45.376224914554108</v>
      </c>
      <c r="CS111" s="755">
        <f t="shared" si="162"/>
        <v>20.625556779342773</v>
      </c>
      <c r="CT111" s="755">
        <f t="shared" si="146"/>
        <v>5.8003962039895303</v>
      </c>
      <c r="CU111" s="755">
        <f t="shared" si="147"/>
        <v>4.0313852721596524</v>
      </c>
      <c r="CX111" s="755"/>
      <c r="CY111" s="755"/>
      <c r="CZ111" s="755"/>
      <c r="DA111" s="755"/>
      <c r="DB111" s="755"/>
      <c r="DC111" s="755"/>
      <c r="DD111" s="755" t="b">
        <f t="shared" si="220"/>
        <v>0</v>
      </c>
      <c r="DE111" s="755">
        <f t="shared" si="163"/>
        <v>2.1636484468447255</v>
      </c>
      <c r="DF111" s="755">
        <v>90</v>
      </c>
      <c r="DG111" s="755">
        <f t="shared" si="221"/>
        <v>5</v>
      </c>
      <c r="DH111" s="673">
        <f t="shared" si="164"/>
        <v>2.8363515531552745</v>
      </c>
      <c r="DI111" s="673">
        <f t="shared" si="165"/>
        <v>2</v>
      </c>
      <c r="DJ111" s="766" t="b">
        <f t="shared" si="166"/>
        <v>0</v>
      </c>
      <c r="DK111" s="673"/>
      <c r="DL111" s="766">
        <f t="shared" si="167"/>
        <v>2.8363515531552745</v>
      </c>
      <c r="DM111" s="766">
        <f t="shared" si="168"/>
        <v>0.24827711667705646</v>
      </c>
      <c r="DN111" s="766">
        <f t="shared" si="169"/>
        <v>1.6605754462145916E-2</v>
      </c>
      <c r="DO111" s="766">
        <f t="shared" si="170"/>
        <v>3.9701674836230314</v>
      </c>
      <c r="DP111" s="766">
        <f t="shared" si="171"/>
        <v>2.2440064224525638</v>
      </c>
      <c r="DQ111" s="766">
        <f t="shared" si="172"/>
        <v>2.8333212730077624</v>
      </c>
      <c r="DR111" s="766">
        <f t="shared" si="173"/>
        <v>5.5714128646000223</v>
      </c>
      <c r="DS111" s="766">
        <f t="shared" si="174"/>
        <v>1.9165292454008185</v>
      </c>
      <c r="DT111" s="766">
        <f t="shared" si="175"/>
        <v>2.7494656544956753</v>
      </c>
      <c r="DU111" s="766">
        <f t="shared" si="176"/>
        <v>310.34639584632055</v>
      </c>
      <c r="DV111" s="766">
        <f t="shared" si="177"/>
        <v>50.309176393776987</v>
      </c>
      <c r="DW111" s="766">
        <f t="shared" si="178"/>
        <v>4.5723102281576677</v>
      </c>
      <c r="DX111" s="766">
        <f t="shared" si="179"/>
        <v>2.078322830980758</v>
      </c>
      <c r="DY111" s="766">
        <f t="shared" si="180"/>
        <v>2.8363515531552745</v>
      </c>
      <c r="DZ111" s="766">
        <f t="shared" si="181"/>
        <v>2.7194409075391492</v>
      </c>
      <c r="EB111" s="755"/>
      <c r="EC111" s="755"/>
      <c r="ED111" s="755"/>
      <c r="EE111" s="755"/>
      <c r="EF111" s="755" t="b">
        <f t="shared" si="222"/>
        <v>0</v>
      </c>
      <c r="EG111" s="755">
        <f t="shared" si="182"/>
        <v>46.199603796010472</v>
      </c>
      <c r="EH111" s="755">
        <v>90</v>
      </c>
      <c r="EI111" s="755">
        <f t="shared" si="227"/>
        <v>52</v>
      </c>
      <c r="EJ111" s="673">
        <f t="shared" si="183"/>
        <v>5.8003962039895303</v>
      </c>
      <c r="EK111" s="673">
        <f t="shared" si="184"/>
        <v>2.2510196371999172</v>
      </c>
      <c r="EL111" s="755" t="b">
        <f t="shared" si="185"/>
        <v>0</v>
      </c>
      <c r="EM111" s="673"/>
      <c r="EN111" s="755">
        <f t="shared" si="186"/>
        <v>5.8003962039895303</v>
      </c>
      <c r="EO111" s="755">
        <f t="shared" si="187"/>
        <v>2.50175064615367E-2</v>
      </c>
      <c r="EP111" s="755">
        <f t="shared" si="188"/>
        <v>1.673269671871528E-3</v>
      </c>
      <c r="EQ111" s="755">
        <f t="shared" si="189"/>
        <v>5.360423964584724</v>
      </c>
      <c r="ER111" s="755">
        <f t="shared" si="190"/>
        <v>2.6263828984413942</v>
      </c>
      <c r="ES111" s="755">
        <f t="shared" si="191"/>
        <v>5.028853575504006</v>
      </c>
      <c r="ET111" s="755">
        <f t="shared" si="192"/>
        <v>9.8886842701780964</v>
      </c>
      <c r="EU111" s="755">
        <f t="shared" si="193"/>
        <v>2.6053882215158932</v>
      </c>
      <c r="EV111" s="755">
        <f t="shared" si="194"/>
        <v>3.7021918669813525</v>
      </c>
      <c r="EW111" s="755">
        <f t="shared" si="195"/>
        <v>31.271883076920876</v>
      </c>
      <c r="EX111" s="755">
        <f t="shared" si="196"/>
        <v>5.0693763579630575</v>
      </c>
      <c r="EY111" s="755">
        <f t="shared" si="223"/>
        <v>45.376224914554108</v>
      </c>
      <c r="EZ111" s="755">
        <f t="shared" si="197"/>
        <v>20.625556779342773</v>
      </c>
      <c r="FA111" s="755">
        <f t="shared" si="198"/>
        <v>5.8003962039895303</v>
      </c>
      <c r="FB111" s="755">
        <f t="shared" si="199"/>
        <v>4.0313852721596524</v>
      </c>
      <c r="FC111" s="755"/>
      <c r="FD111" s="755"/>
      <c r="FE111" s="755"/>
      <c r="FF111" s="755"/>
      <c r="FG111" s="755"/>
      <c r="FH111" s="755"/>
      <c r="FI111" s="755"/>
      <c r="FJ111" s="755"/>
      <c r="FK111" s="755" t="b">
        <f t="shared" si="224"/>
        <v>0</v>
      </c>
      <c r="FL111" s="755">
        <f t="shared" si="200"/>
        <v>2.2805590924608508</v>
      </c>
      <c r="FM111" s="755">
        <v>90</v>
      </c>
      <c r="FN111" s="767">
        <f t="shared" si="225"/>
        <v>5</v>
      </c>
      <c r="FO111" s="673">
        <f t="shared" si="201"/>
        <v>2.7194409075391492</v>
      </c>
      <c r="FP111" s="673">
        <f t="shared" si="202"/>
        <v>2.2510196371999172</v>
      </c>
      <c r="FQ111" s="766" t="b">
        <f t="shared" si="203"/>
        <v>0</v>
      </c>
      <c r="FR111" s="673"/>
      <c r="FS111" s="767">
        <f t="shared" si="204"/>
        <v>2.7194409075391492</v>
      </c>
      <c r="FT111" s="766">
        <f t="shared" si="205"/>
        <v>0.24827711667705646</v>
      </c>
      <c r="FU111" s="766">
        <f t="shared" si="206"/>
        <v>1.6605754462145916E-2</v>
      </c>
      <c r="FV111" s="766">
        <f t="shared" si="207"/>
        <v>3.9701674836230314</v>
      </c>
      <c r="FW111" s="766">
        <f t="shared" si="208"/>
        <v>2.2440064224525638</v>
      </c>
      <c r="FX111" s="766">
        <f t="shared" si="209"/>
        <v>3.1889309120183702</v>
      </c>
      <c r="FY111" s="766">
        <f t="shared" si="210"/>
        <v>6.2706798825814465</v>
      </c>
      <c r="FZ111" s="766">
        <f t="shared" si="211"/>
        <v>1.9165292454008185</v>
      </c>
      <c r="GA111" s="766">
        <f t="shared" si="212"/>
        <v>2.7494656544956753</v>
      </c>
      <c r="GB111" s="766">
        <f t="shared" si="213"/>
        <v>310.34639584632055</v>
      </c>
      <c r="GC111" s="766">
        <f t="shared" si="214"/>
        <v>50.309176393776987</v>
      </c>
      <c r="GD111" s="766">
        <f t="shared" si="215"/>
        <v>4.5723102281576677</v>
      </c>
      <c r="GE111" s="766">
        <f t="shared" si="216"/>
        <v>2.078322830980758</v>
      </c>
      <c r="GF111" s="766">
        <f t="shared" si="217"/>
        <v>3.3290321120528605</v>
      </c>
      <c r="GG111" s="766">
        <f t="shared" si="218"/>
        <v>2.7194409075391492</v>
      </c>
    </row>
    <row r="112" spans="15:189">
      <c r="AM112" s="705"/>
      <c r="AN112" s="705"/>
      <c r="AO112" s="705"/>
      <c r="AP112" s="705"/>
      <c r="AQ112" s="705"/>
      <c r="AR112" s="705"/>
      <c r="AS112" s="705"/>
      <c r="AT112" s="705"/>
      <c r="AU112" s="705"/>
      <c r="AV112" s="705"/>
      <c r="AW112" s="705"/>
      <c r="AX112" s="705"/>
      <c r="AY112" s="705"/>
      <c r="AZ112" s="705"/>
      <c r="BA112" s="705"/>
      <c r="BB112" s="705"/>
      <c r="BC112" s="705"/>
      <c r="BD112" s="705"/>
      <c r="BE112" s="705"/>
      <c r="BF112" s="705"/>
      <c r="BG112" s="705"/>
      <c r="BH112" s="705"/>
      <c r="BI112" s="705"/>
      <c r="BJ112" s="705"/>
      <c r="BK112" s="705"/>
      <c r="BL112" s="705"/>
      <c r="BM112" s="705"/>
      <c r="BN112" s="705"/>
      <c r="BO112" s="705"/>
      <c r="BP112" s="705"/>
      <c r="BQ112" s="705"/>
      <c r="BY112" s="753" t="b">
        <f t="shared" si="219"/>
        <v>0</v>
      </c>
      <c r="BZ112" s="753">
        <f t="shared" si="148"/>
        <v>46.684156578828116</v>
      </c>
      <c r="CA112" s="751">
        <v>91</v>
      </c>
      <c r="CB112" s="752">
        <f t="shared" si="226"/>
        <v>52.5</v>
      </c>
      <c r="CC112" s="673">
        <f t="shared" si="149"/>
        <v>5.8158434211718824</v>
      </c>
      <c r="CD112" s="91">
        <f t="shared" si="150"/>
        <v>2</v>
      </c>
      <c r="CE112" s="752" t="b">
        <f t="shared" si="151"/>
        <v>0</v>
      </c>
      <c r="CF112" s="673"/>
      <c r="CG112" s="752">
        <f t="shared" si="152"/>
        <v>5.8158434211718824</v>
      </c>
      <c r="CH112" s="752">
        <f t="shared" si="153"/>
        <v>2.4783987424422456E-2</v>
      </c>
      <c r="CI112" s="752">
        <f t="shared" si="154"/>
        <v>1.6576509960770937E-3</v>
      </c>
      <c r="CJ112" s="755">
        <f t="shared" si="155"/>
        <v>5.3625860854112011</v>
      </c>
      <c r="CK112" s="755">
        <f t="shared" si="156"/>
        <v>2.626891026116736</v>
      </c>
      <c r="CL112" s="755">
        <f t="shared" si="157"/>
        <v>5.0406576326442201</v>
      </c>
      <c r="CM112" s="755">
        <f t="shared" si="158"/>
        <v>9.9118956427929792</v>
      </c>
      <c r="CN112" s="755">
        <f t="shared" si="159"/>
        <v>2.6086066631272744</v>
      </c>
      <c r="CO112" s="755">
        <f t="shared" si="160"/>
        <v>3.7066548824905592</v>
      </c>
      <c r="CP112" s="755">
        <f t="shared" si="144"/>
        <v>30.979984280528068</v>
      </c>
      <c r="CQ112" s="755">
        <f t="shared" si="161"/>
        <v>5.0220576578479479</v>
      </c>
      <c r="CR112" s="755">
        <f t="shared" si="145"/>
        <v>45.803767592351157</v>
      </c>
      <c r="CS112" s="755">
        <f t="shared" si="162"/>
        <v>20.819894360159616</v>
      </c>
      <c r="CT112" s="755">
        <f t="shared" si="146"/>
        <v>5.8158434211718824</v>
      </c>
      <c r="CU112" s="755">
        <f t="shared" si="147"/>
        <v>4.0374477677025364</v>
      </c>
      <c r="CX112" s="755"/>
      <c r="CY112" s="755"/>
      <c r="CZ112" s="755"/>
      <c r="DA112" s="755"/>
      <c r="DB112" s="755"/>
      <c r="DC112" s="755"/>
      <c r="DD112" s="755" t="b">
        <f t="shared" si="220"/>
        <v>0</v>
      </c>
      <c r="DE112" s="755">
        <f t="shared" si="163"/>
        <v>1.7642942879255994</v>
      </c>
      <c r="DF112" s="755">
        <v>91</v>
      </c>
      <c r="DG112" s="755">
        <f t="shared" si="221"/>
        <v>4.5</v>
      </c>
      <c r="DH112" s="673">
        <f t="shared" si="164"/>
        <v>2.7357057120744006</v>
      </c>
      <c r="DI112" s="673">
        <f t="shared" si="165"/>
        <v>2</v>
      </c>
      <c r="DJ112" s="766" t="b">
        <f t="shared" si="166"/>
        <v>0</v>
      </c>
      <c r="DK112" s="673"/>
      <c r="DL112" s="766">
        <f t="shared" si="167"/>
        <v>2.7357057120744006</v>
      </c>
      <c r="DM112" s="766">
        <f t="shared" si="168"/>
        <v>0.2752827726734714</v>
      </c>
      <c r="DN112" s="766">
        <f t="shared" si="169"/>
        <v>1.8411999429735742E-2</v>
      </c>
      <c r="DO112" s="766">
        <f t="shared" si="170"/>
        <v>3.8598026695944254</v>
      </c>
      <c r="DP112" s="766">
        <f t="shared" si="171"/>
        <v>2.2082382971913863</v>
      </c>
      <c r="DQ112" s="766">
        <f t="shared" si="172"/>
        <v>2.7611197166547279</v>
      </c>
      <c r="DR112" s="766">
        <f t="shared" si="173"/>
        <v>5.4294364908856467</v>
      </c>
      <c r="DS112" s="766">
        <f t="shared" si="174"/>
        <v>1.8897133484452033</v>
      </c>
      <c r="DT112" s="766">
        <f t="shared" si="175"/>
        <v>2.7124962744561807</v>
      </c>
      <c r="DU112" s="766">
        <f t="shared" si="176"/>
        <v>344.10346584183924</v>
      </c>
      <c r="DV112" s="766">
        <f t="shared" si="177"/>
        <v>55.781417772029037</v>
      </c>
      <c r="DW112" s="766">
        <f t="shared" si="178"/>
        <v>4.1237596852692464</v>
      </c>
      <c r="DX112" s="766">
        <f t="shared" si="179"/>
        <v>1.87443622057693</v>
      </c>
      <c r="DY112" s="766">
        <f t="shared" si="180"/>
        <v>2.7357057120744006</v>
      </c>
      <c r="DZ112" s="766">
        <f t="shared" si="181"/>
        <v>2.667809169469284</v>
      </c>
      <c r="EB112" s="755"/>
      <c r="EC112" s="755"/>
      <c r="ED112" s="755"/>
      <c r="EE112" s="755"/>
      <c r="EF112" s="755" t="b">
        <f t="shared" si="222"/>
        <v>0</v>
      </c>
      <c r="EG112" s="755">
        <f t="shared" si="182"/>
        <v>46.684156578828116</v>
      </c>
      <c r="EH112" s="755">
        <v>91</v>
      </c>
      <c r="EI112" s="755">
        <f t="shared" si="227"/>
        <v>52.5</v>
      </c>
      <c r="EJ112" s="673">
        <f t="shared" si="183"/>
        <v>5.8158434211718824</v>
      </c>
      <c r="EK112" s="673">
        <f t="shared" si="184"/>
        <v>2.2510196371999172</v>
      </c>
      <c r="EL112" s="755" t="b">
        <f t="shared" si="185"/>
        <v>0</v>
      </c>
      <c r="EM112" s="673"/>
      <c r="EN112" s="755">
        <f t="shared" si="186"/>
        <v>5.8158434211718824</v>
      </c>
      <c r="EO112" s="755">
        <f t="shared" si="187"/>
        <v>2.4783987424422456E-2</v>
      </c>
      <c r="EP112" s="755">
        <f t="shared" si="188"/>
        <v>1.6576509960770937E-3</v>
      </c>
      <c r="EQ112" s="755">
        <f t="shared" si="189"/>
        <v>5.3625860854112011</v>
      </c>
      <c r="ER112" s="755">
        <f t="shared" si="190"/>
        <v>2.626891026116736</v>
      </c>
      <c r="ES112" s="755">
        <f t="shared" si="191"/>
        <v>5.0406576326442201</v>
      </c>
      <c r="ET112" s="755">
        <f t="shared" si="192"/>
        <v>9.9118956427929792</v>
      </c>
      <c r="EU112" s="755">
        <f t="shared" si="193"/>
        <v>2.6086066631272744</v>
      </c>
      <c r="EV112" s="755">
        <f t="shared" si="194"/>
        <v>3.7066548824905592</v>
      </c>
      <c r="EW112" s="755">
        <f t="shared" si="195"/>
        <v>30.979984280528068</v>
      </c>
      <c r="EX112" s="755">
        <f t="shared" si="196"/>
        <v>5.0220576578479479</v>
      </c>
      <c r="EY112" s="755">
        <f t="shared" si="223"/>
        <v>45.803767592351157</v>
      </c>
      <c r="EZ112" s="755">
        <f t="shared" si="197"/>
        <v>20.819894360159616</v>
      </c>
      <c r="FA112" s="755">
        <f t="shared" si="198"/>
        <v>5.8158434211718824</v>
      </c>
      <c r="FB112" s="755">
        <f t="shared" si="199"/>
        <v>4.0374477677025364</v>
      </c>
      <c r="FC112" s="755"/>
      <c r="FD112" s="755"/>
      <c r="FE112" s="755"/>
      <c r="FF112" s="755"/>
      <c r="FG112" s="755"/>
      <c r="FH112" s="755"/>
      <c r="FI112" s="755"/>
      <c r="FJ112" s="755"/>
      <c r="FK112" s="755" t="b">
        <f t="shared" si="224"/>
        <v>0</v>
      </c>
      <c r="FL112" s="755">
        <f t="shared" si="200"/>
        <v>1.832190830530716</v>
      </c>
      <c r="FM112" s="755">
        <v>91</v>
      </c>
      <c r="FN112" s="767">
        <f t="shared" si="225"/>
        <v>4.5</v>
      </c>
      <c r="FO112" s="673">
        <f t="shared" si="201"/>
        <v>2.667809169469284</v>
      </c>
      <c r="FP112" s="673">
        <f t="shared" si="202"/>
        <v>2.2510196371999172</v>
      </c>
      <c r="FQ112" s="766" t="b">
        <f t="shared" si="203"/>
        <v>0</v>
      </c>
      <c r="FR112" s="673"/>
      <c r="FS112" s="767">
        <f t="shared" si="204"/>
        <v>2.667809169469284</v>
      </c>
      <c r="FT112" s="766">
        <f t="shared" si="205"/>
        <v>0.2752827726734714</v>
      </c>
      <c r="FU112" s="766">
        <f t="shared" si="206"/>
        <v>1.8411999429735742E-2</v>
      </c>
      <c r="FV112" s="766">
        <f t="shared" si="207"/>
        <v>3.8598026695944254</v>
      </c>
      <c r="FW112" s="766">
        <f t="shared" si="208"/>
        <v>2.2082382971913863</v>
      </c>
      <c r="FX112" s="766">
        <f t="shared" si="209"/>
        <v>3.1076673514248316</v>
      </c>
      <c r="FY112" s="766">
        <f t="shared" si="210"/>
        <v>6.1108840799566995</v>
      </c>
      <c r="FZ112" s="766">
        <f t="shared" si="211"/>
        <v>1.8897133484452033</v>
      </c>
      <c r="GA112" s="766">
        <f t="shared" si="212"/>
        <v>2.7124962744561807</v>
      </c>
      <c r="GB112" s="766">
        <f t="shared" si="213"/>
        <v>344.10346584183924</v>
      </c>
      <c r="GC112" s="766">
        <f t="shared" si="214"/>
        <v>55.781417772029037</v>
      </c>
      <c r="GD112" s="766">
        <f t="shared" si="215"/>
        <v>4.1237596852692464</v>
      </c>
      <c r="GE112" s="766">
        <f t="shared" si="216"/>
        <v>1.87443622057693</v>
      </c>
      <c r="GF112" s="766">
        <f t="shared" si="217"/>
        <v>3.2168861799378639</v>
      </c>
      <c r="GG112" s="766">
        <f t="shared" si="218"/>
        <v>2.667809169469284</v>
      </c>
    </row>
    <row r="113" spans="70:189">
      <c r="BY113" s="753" t="b">
        <f t="shared" si="219"/>
        <v>0</v>
      </c>
      <c r="BZ113" s="753">
        <f t="shared" si="148"/>
        <v>47.168825049467713</v>
      </c>
      <c r="CA113" s="751">
        <v>92</v>
      </c>
      <c r="CB113" s="752">
        <f t="shared" si="226"/>
        <v>53</v>
      </c>
      <c r="CC113" s="673">
        <f t="shared" si="149"/>
        <v>5.8311749505322883</v>
      </c>
      <c r="CD113" s="91">
        <f t="shared" si="150"/>
        <v>2</v>
      </c>
      <c r="CE113" s="752" t="b">
        <f t="shared" si="151"/>
        <v>0</v>
      </c>
      <c r="CF113" s="673"/>
      <c r="CG113" s="752">
        <f t="shared" si="152"/>
        <v>5.8311749505322883</v>
      </c>
      <c r="CH113" s="752">
        <f t="shared" si="153"/>
        <v>2.455483076017204E-2</v>
      </c>
      <c r="CI113" s="752">
        <f t="shared" si="154"/>
        <v>1.6423240930147525E-3</v>
      </c>
      <c r="CJ113" s="755">
        <f t="shared" si="155"/>
        <v>5.3647100213142052</v>
      </c>
      <c r="CK113" s="755">
        <f t="shared" si="156"/>
        <v>2.6273899482705585</v>
      </c>
      <c r="CL113" s="755">
        <f t="shared" si="157"/>
        <v>5.0523771156599269</v>
      </c>
      <c r="CM113" s="755">
        <f t="shared" si="158"/>
        <v>9.9349407097475133</v>
      </c>
      <c r="CN113" s="755">
        <f t="shared" si="159"/>
        <v>2.6117981614804688</v>
      </c>
      <c r="CO113" s="755">
        <f t="shared" si="160"/>
        <v>3.7110806268967305</v>
      </c>
      <c r="CP113" s="755">
        <f t="shared" si="144"/>
        <v>30.693538450215051</v>
      </c>
      <c r="CQ113" s="755">
        <f t="shared" si="161"/>
        <v>4.975622919125815</v>
      </c>
      <c r="CR113" s="755">
        <f t="shared" si="145"/>
        <v>46.231228839959897</v>
      </c>
      <c r="CS113" s="755">
        <f t="shared" si="162"/>
        <v>21.014194927254497</v>
      </c>
      <c r="CT113" s="755">
        <f t="shared" si="146"/>
        <v>5.8311749505322883</v>
      </c>
      <c r="CU113" s="755">
        <f t="shared" si="147"/>
        <v>4.0434588783794467</v>
      </c>
      <c r="CX113" s="755"/>
      <c r="CY113" s="755"/>
      <c r="CZ113" s="755"/>
      <c r="DA113" s="755"/>
      <c r="DB113" s="755"/>
      <c r="DC113" s="755"/>
      <c r="DD113" s="755" t="b">
        <f t="shared" si="220"/>
        <v>0</v>
      </c>
      <c r="DE113" s="755">
        <f t="shared" si="163"/>
        <v>1.3740106673977981</v>
      </c>
      <c r="DF113" s="755">
        <v>92</v>
      </c>
      <c r="DG113" s="755">
        <f t="shared" si="221"/>
        <v>4</v>
      </c>
      <c r="DH113" s="673">
        <f t="shared" si="164"/>
        <v>2.6259893326022019</v>
      </c>
      <c r="DI113" s="673">
        <f t="shared" si="165"/>
        <v>2</v>
      </c>
      <c r="DJ113" s="766" t="b">
        <f t="shared" si="166"/>
        <v>0</v>
      </c>
      <c r="DK113" s="673"/>
      <c r="DL113" s="766">
        <f t="shared" si="167"/>
        <v>2.6259893326022019</v>
      </c>
      <c r="DM113" s="766">
        <f t="shared" si="168"/>
        <v>0.30896444593401362</v>
      </c>
      <c r="DN113" s="766">
        <f t="shared" si="169"/>
        <v>2.0664762807708691E-2</v>
      </c>
      <c r="DO113" s="766">
        <f t="shared" si="170"/>
        <v>3.7327604536235928</v>
      </c>
      <c r="DP113" s="766">
        <f t="shared" si="171"/>
        <v>2.1659362701819798</v>
      </c>
      <c r="DQ113" s="766">
        <f t="shared" si="172"/>
        <v>2.6825811539314262</v>
      </c>
      <c r="DR113" s="766">
        <f t="shared" si="173"/>
        <v>5.274999095136562</v>
      </c>
      <c r="DS113" s="766">
        <f t="shared" si="174"/>
        <v>1.8601178238688743</v>
      </c>
      <c r="DT113" s="766">
        <f t="shared" si="175"/>
        <v>2.671706585950318</v>
      </c>
      <c r="DU113" s="766">
        <f t="shared" si="176"/>
        <v>386.20555741751701</v>
      </c>
      <c r="DV113" s="766">
        <f t="shared" si="177"/>
        <v>62.60644161627755</v>
      </c>
      <c r="DW113" s="766">
        <f t="shared" si="178"/>
        <v>3.6742091685282383</v>
      </c>
      <c r="DX113" s="766">
        <f t="shared" si="179"/>
        <v>1.6700950766037446</v>
      </c>
      <c r="DY113" s="766">
        <f t="shared" si="180"/>
        <v>2.6259893326022019</v>
      </c>
      <c r="DZ113" s="766">
        <f t="shared" si="181"/>
        <v>2.6107783249052163</v>
      </c>
      <c r="EB113" s="755"/>
      <c r="EC113" s="755"/>
      <c r="ED113" s="755"/>
      <c r="EE113" s="755"/>
      <c r="EF113" s="755" t="b">
        <f t="shared" si="222"/>
        <v>0</v>
      </c>
      <c r="EG113" s="755">
        <f t="shared" si="182"/>
        <v>47.168825049467713</v>
      </c>
      <c r="EH113" s="755">
        <v>92</v>
      </c>
      <c r="EI113" s="755">
        <f t="shared" si="227"/>
        <v>53</v>
      </c>
      <c r="EJ113" s="673">
        <f t="shared" si="183"/>
        <v>5.8311749505322883</v>
      </c>
      <c r="EK113" s="673">
        <f t="shared" si="184"/>
        <v>2.2510196371999172</v>
      </c>
      <c r="EL113" s="755" t="b">
        <f t="shared" si="185"/>
        <v>0</v>
      </c>
      <c r="EM113" s="673"/>
      <c r="EN113" s="755">
        <f t="shared" si="186"/>
        <v>5.8311749505322883</v>
      </c>
      <c r="EO113" s="755">
        <f t="shared" si="187"/>
        <v>2.455483076017204E-2</v>
      </c>
      <c r="EP113" s="755">
        <f t="shared" si="188"/>
        <v>1.6423240930147525E-3</v>
      </c>
      <c r="EQ113" s="755">
        <f t="shared" si="189"/>
        <v>5.3647100213142052</v>
      </c>
      <c r="ER113" s="755">
        <f t="shared" si="190"/>
        <v>2.6273899482705585</v>
      </c>
      <c r="ES113" s="755">
        <f t="shared" si="191"/>
        <v>5.0523771156599269</v>
      </c>
      <c r="ET113" s="755">
        <f t="shared" si="192"/>
        <v>9.9349407097475133</v>
      </c>
      <c r="EU113" s="755">
        <f t="shared" si="193"/>
        <v>2.6117981614804688</v>
      </c>
      <c r="EV113" s="755">
        <f t="shared" si="194"/>
        <v>3.7110806268967305</v>
      </c>
      <c r="EW113" s="755">
        <f t="shared" si="195"/>
        <v>30.693538450215051</v>
      </c>
      <c r="EX113" s="755">
        <f t="shared" si="196"/>
        <v>4.975622919125815</v>
      </c>
      <c r="EY113" s="755">
        <f t="shared" si="223"/>
        <v>46.231228839959897</v>
      </c>
      <c r="EZ113" s="755">
        <f t="shared" si="197"/>
        <v>21.014194927254497</v>
      </c>
      <c r="FA113" s="755">
        <f t="shared" si="198"/>
        <v>5.8311749505322883</v>
      </c>
      <c r="FB113" s="755">
        <f t="shared" si="199"/>
        <v>4.0434588783794467</v>
      </c>
      <c r="FC113" s="755"/>
      <c r="FD113" s="755"/>
      <c r="FE113" s="755"/>
      <c r="FF113" s="755"/>
      <c r="FG113" s="755"/>
      <c r="FH113" s="755"/>
      <c r="FI113" s="755"/>
      <c r="FJ113" s="755"/>
      <c r="FK113" s="755" t="b">
        <f t="shared" si="224"/>
        <v>0</v>
      </c>
      <c r="FL113" s="755">
        <f t="shared" si="200"/>
        <v>1.3892216750947837</v>
      </c>
      <c r="FM113" s="755">
        <v>92</v>
      </c>
      <c r="FN113" s="767">
        <f t="shared" si="225"/>
        <v>4</v>
      </c>
      <c r="FO113" s="673">
        <f t="shared" si="201"/>
        <v>2.6107783249052163</v>
      </c>
      <c r="FP113" s="673">
        <f t="shared" si="202"/>
        <v>2.2510196371999172</v>
      </c>
      <c r="FQ113" s="766" t="b">
        <f t="shared" si="203"/>
        <v>0</v>
      </c>
      <c r="FR113" s="673"/>
      <c r="FS113" s="767">
        <f t="shared" si="204"/>
        <v>2.6107783249052163</v>
      </c>
      <c r="FT113" s="766">
        <f t="shared" si="205"/>
        <v>0.30896444593401362</v>
      </c>
      <c r="FU113" s="766">
        <f t="shared" si="206"/>
        <v>2.0664762807708691E-2</v>
      </c>
      <c r="FV113" s="766">
        <f t="shared" si="207"/>
        <v>3.7327604536235928</v>
      </c>
      <c r="FW113" s="766">
        <f t="shared" si="208"/>
        <v>2.1659362701819798</v>
      </c>
      <c r="FX113" s="766">
        <f t="shared" si="209"/>
        <v>3.0192714279410269</v>
      </c>
      <c r="FY113" s="766">
        <f t="shared" si="210"/>
        <v>5.9370632746820977</v>
      </c>
      <c r="FZ113" s="766">
        <f t="shared" si="211"/>
        <v>1.8601178238688743</v>
      </c>
      <c r="GA113" s="766">
        <f t="shared" si="212"/>
        <v>2.671706585950318</v>
      </c>
      <c r="GB113" s="766">
        <f t="shared" si="213"/>
        <v>386.20555741751701</v>
      </c>
      <c r="GC113" s="766">
        <f t="shared" si="214"/>
        <v>62.60644161627755</v>
      </c>
      <c r="GD113" s="766">
        <f t="shared" si="215"/>
        <v>3.6742091685282383</v>
      </c>
      <c r="GE113" s="766">
        <f t="shared" si="216"/>
        <v>1.6700950766037446</v>
      </c>
      <c r="GF113" s="766">
        <f t="shared" si="217"/>
        <v>3.0946015651575096</v>
      </c>
      <c r="GG113" s="766">
        <f t="shared" si="218"/>
        <v>2.6107783249052163</v>
      </c>
    </row>
    <row r="114" spans="70:189">
      <c r="BY114" s="753" t="b">
        <f t="shared" si="219"/>
        <v>0</v>
      </c>
      <c r="BZ114" s="753">
        <f t="shared" si="148"/>
        <v>47.65360727292861</v>
      </c>
      <c r="CA114" s="751">
        <v>93</v>
      </c>
      <c r="CB114" s="752">
        <f t="shared" si="226"/>
        <v>53.5</v>
      </c>
      <c r="CC114" s="673">
        <f t="shared" si="149"/>
        <v>5.8463927270713887</v>
      </c>
      <c r="CD114" s="91">
        <f t="shared" si="150"/>
        <v>2</v>
      </c>
      <c r="CE114" s="752" t="b">
        <f t="shared" si="151"/>
        <v>0</v>
      </c>
      <c r="CF114" s="673"/>
      <c r="CG114" s="752">
        <f t="shared" si="152"/>
        <v>5.8463927270713887</v>
      </c>
      <c r="CH114" s="752">
        <f t="shared" si="153"/>
        <v>2.4329914963235676E-2</v>
      </c>
      <c r="CI114" s="752">
        <f t="shared" si="154"/>
        <v>1.6272808359132887E-3</v>
      </c>
      <c r="CJ114" s="755">
        <f t="shared" si="155"/>
        <v>5.3667967789404925</v>
      </c>
      <c r="CK114" s="755">
        <f t="shared" si="156"/>
        <v>2.6278799137057884</v>
      </c>
      <c r="CL114" s="755">
        <f t="shared" si="157"/>
        <v>5.0640134198778544</v>
      </c>
      <c r="CM114" s="755">
        <f t="shared" si="158"/>
        <v>9.9578222147973587</v>
      </c>
      <c r="CN114" s="755">
        <f t="shared" si="159"/>
        <v>2.6149631934071542</v>
      </c>
      <c r="CO114" s="755">
        <f t="shared" si="160"/>
        <v>3.7154697589508228</v>
      </c>
      <c r="CP114" s="755">
        <f t="shared" si="144"/>
        <v>30.412393704044597</v>
      </c>
      <c r="CQ114" s="755">
        <f t="shared" si="161"/>
        <v>4.9300475207433028</v>
      </c>
      <c r="CR114" s="755">
        <f t="shared" si="145"/>
        <v>46.658609440903192</v>
      </c>
      <c r="CS114" s="755">
        <f t="shared" si="162"/>
        <v>21.208458836774177</v>
      </c>
      <c r="CT114" s="755">
        <f t="shared" si="146"/>
        <v>5.8463927270713887</v>
      </c>
      <c r="CU114" s="755">
        <f t="shared" si="147"/>
        <v>4.0494195179163874</v>
      </c>
      <c r="CX114" s="755"/>
      <c r="CY114" s="755"/>
      <c r="CZ114" s="755"/>
      <c r="DA114" s="755"/>
      <c r="DB114" s="755"/>
      <c r="DC114" s="755"/>
      <c r="DD114" s="755" t="b">
        <f t="shared" si="220"/>
        <v>0</v>
      </c>
      <c r="DE114" s="755">
        <f t="shared" si="163"/>
        <v>0.99491301125251663</v>
      </c>
      <c r="DF114" s="755">
        <v>93</v>
      </c>
      <c r="DG114" s="755">
        <f t="shared" si="221"/>
        <v>3.5</v>
      </c>
      <c r="DH114" s="673">
        <f t="shared" si="164"/>
        <v>2.5050869887474834</v>
      </c>
      <c r="DI114" s="673">
        <f t="shared" si="165"/>
        <v>2</v>
      </c>
      <c r="DJ114" s="766" t="b">
        <f t="shared" si="166"/>
        <v>0</v>
      </c>
      <c r="DK114" s="673"/>
      <c r="DL114" s="766">
        <f t="shared" si="167"/>
        <v>2.5050869887474834</v>
      </c>
      <c r="DM114" s="766">
        <f t="shared" si="168"/>
        <v>0.35216047737760803</v>
      </c>
      <c r="DN114" s="766">
        <f t="shared" si="169"/>
        <v>2.3553884050503234E-2</v>
      </c>
      <c r="DO114" s="766">
        <f t="shared" si="170"/>
        <v>3.5847651415992572</v>
      </c>
      <c r="DP114" s="766">
        <f t="shared" si="171"/>
        <v>2.1150825067527959</v>
      </c>
      <c r="DQ114" s="766">
        <f t="shared" si="172"/>
        <v>2.5962400323934052</v>
      </c>
      <c r="DR114" s="766">
        <f t="shared" si="173"/>
        <v>5.1052188305884956</v>
      </c>
      <c r="DS114" s="766">
        <f t="shared" si="174"/>
        <v>1.8270460062731997</v>
      </c>
      <c r="DT114" s="766">
        <f t="shared" si="175"/>
        <v>2.6261405509202009</v>
      </c>
      <c r="DU114" s="766">
        <f t="shared" si="176"/>
        <v>440.20059672201006</v>
      </c>
      <c r="DV114" s="766">
        <f t="shared" si="177"/>
        <v>71.359389912489789</v>
      </c>
      <c r="DW114" s="766">
        <f t="shared" si="178"/>
        <v>3.2235303872068783</v>
      </c>
      <c r="DX114" s="766">
        <f t="shared" si="179"/>
        <v>1.4652410850940354</v>
      </c>
      <c r="DY114" s="766">
        <f t="shared" si="180"/>
        <v>2.5050869887474834</v>
      </c>
      <c r="DZ114" s="766">
        <f t="shared" si="181"/>
        <v>2.5469902623541434</v>
      </c>
      <c r="EB114" s="755"/>
      <c r="EC114" s="755"/>
      <c r="ED114" s="755"/>
      <c r="EE114" s="755"/>
      <c r="EF114" s="755" t="b">
        <f t="shared" si="222"/>
        <v>0</v>
      </c>
      <c r="EG114" s="755">
        <f t="shared" si="182"/>
        <v>47.65360727292861</v>
      </c>
      <c r="EH114" s="755">
        <v>93</v>
      </c>
      <c r="EI114" s="755">
        <f t="shared" si="227"/>
        <v>53.5</v>
      </c>
      <c r="EJ114" s="673">
        <f t="shared" si="183"/>
        <v>5.8463927270713887</v>
      </c>
      <c r="EK114" s="673">
        <f t="shared" si="184"/>
        <v>2.2510196371999172</v>
      </c>
      <c r="EL114" s="755" t="b">
        <f t="shared" si="185"/>
        <v>0</v>
      </c>
      <c r="EM114" s="673"/>
      <c r="EN114" s="755">
        <f t="shared" si="186"/>
        <v>5.8463927270713887</v>
      </c>
      <c r="EO114" s="755">
        <f t="shared" si="187"/>
        <v>2.4329914963235676E-2</v>
      </c>
      <c r="EP114" s="755">
        <f t="shared" si="188"/>
        <v>1.6272808359132887E-3</v>
      </c>
      <c r="EQ114" s="755">
        <f t="shared" si="189"/>
        <v>5.3667967789404925</v>
      </c>
      <c r="ER114" s="755">
        <f t="shared" si="190"/>
        <v>2.6278799137057884</v>
      </c>
      <c r="ES114" s="755">
        <f t="shared" si="191"/>
        <v>5.0640134198778544</v>
      </c>
      <c r="ET114" s="755">
        <f t="shared" si="192"/>
        <v>9.9578222147973587</v>
      </c>
      <c r="EU114" s="755">
        <f t="shared" si="193"/>
        <v>2.6149631934071542</v>
      </c>
      <c r="EV114" s="755">
        <f t="shared" si="194"/>
        <v>3.7154697589508228</v>
      </c>
      <c r="EW114" s="755">
        <f t="shared" si="195"/>
        <v>30.412393704044597</v>
      </c>
      <c r="EX114" s="755">
        <f t="shared" si="196"/>
        <v>4.9300475207433028</v>
      </c>
      <c r="EY114" s="755">
        <f t="shared" si="223"/>
        <v>46.658609440903192</v>
      </c>
      <c r="EZ114" s="755">
        <f t="shared" si="197"/>
        <v>21.208458836774177</v>
      </c>
      <c r="FA114" s="755">
        <f t="shared" si="198"/>
        <v>5.8463927270713887</v>
      </c>
      <c r="FB114" s="755">
        <f t="shared" si="199"/>
        <v>4.0494195179163874</v>
      </c>
      <c r="FC114" s="755"/>
      <c r="FD114" s="755"/>
      <c r="FE114" s="755"/>
      <c r="FF114" s="755"/>
      <c r="FG114" s="755"/>
      <c r="FH114" s="755"/>
      <c r="FI114" s="755"/>
      <c r="FJ114" s="755"/>
      <c r="FK114" s="755" t="b">
        <f t="shared" si="224"/>
        <v>0</v>
      </c>
      <c r="FL114" s="755">
        <f t="shared" si="200"/>
        <v>0.95300973764585661</v>
      </c>
      <c r="FM114" s="755">
        <v>93</v>
      </c>
      <c r="FN114" s="767">
        <f t="shared" si="225"/>
        <v>3.5</v>
      </c>
      <c r="FO114" s="673">
        <f t="shared" si="201"/>
        <v>2.5469902623541434</v>
      </c>
      <c r="FP114" s="673">
        <f t="shared" si="202"/>
        <v>2.2510196371999172</v>
      </c>
      <c r="FQ114" s="766" t="b">
        <f t="shared" si="203"/>
        <v>0</v>
      </c>
      <c r="FR114" s="673"/>
      <c r="FS114" s="767">
        <f t="shared" si="204"/>
        <v>2.5469902623541434</v>
      </c>
      <c r="FT114" s="766">
        <f t="shared" si="205"/>
        <v>0.35216047737760803</v>
      </c>
      <c r="FU114" s="766">
        <f t="shared" si="206"/>
        <v>2.3553884050503234E-2</v>
      </c>
      <c r="FV114" s="766">
        <f t="shared" si="207"/>
        <v>3.5847651415992572</v>
      </c>
      <c r="FW114" s="766">
        <f t="shared" si="208"/>
        <v>2.1150825067527959</v>
      </c>
      <c r="FX114" s="766">
        <f t="shared" si="209"/>
        <v>2.9220936479010522</v>
      </c>
      <c r="FY114" s="766">
        <f t="shared" si="210"/>
        <v>5.7459739199287503</v>
      </c>
      <c r="FZ114" s="766">
        <f t="shared" si="211"/>
        <v>1.8270460062731997</v>
      </c>
      <c r="GA114" s="766">
        <f t="shared" si="212"/>
        <v>2.6261405509202009</v>
      </c>
      <c r="GB114" s="766">
        <f t="shared" si="213"/>
        <v>440.20059672201006</v>
      </c>
      <c r="GC114" s="766">
        <f t="shared" si="214"/>
        <v>71.359389912489789</v>
      </c>
      <c r="GD114" s="766">
        <f t="shared" si="215"/>
        <v>3.2235303872068783</v>
      </c>
      <c r="GE114" s="766">
        <f t="shared" si="216"/>
        <v>1.4652410850940354</v>
      </c>
      <c r="GF114" s="766">
        <f t="shared" si="217"/>
        <v>2.9598112781688628</v>
      </c>
      <c r="GG114" s="766">
        <f t="shared" si="218"/>
        <v>2.5469902623541434</v>
      </c>
    </row>
    <row r="115" spans="70:189">
      <c r="BY115" s="753" t="b">
        <f t="shared" si="219"/>
        <v>0</v>
      </c>
      <c r="BZ115" s="753">
        <f t="shared" si="148"/>
        <v>48.138501364235182</v>
      </c>
      <c r="CA115" s="751">
        <v>94</v>
      </c>
      <c r="CB115" s="752">
        <f t="shared" si="226"/>
        <v>54</v>
      </c>
      <c r="CC115" s="673">
        <f t="shared" si="149"/>
        <v>5.8614986357648151</v>
      </c>
      <c r="CD115" s="91">
        <f t="shared" si="150"/>
        <v>2</v>
      </c>
      <c r="CE115" s="752" t="b">
        <f t="shared" si="151"/>
        <v>0</v>
      </c>
      <c r="CF115" s="673"/>
      <c r="CG115" s="752">
        <f t="shared" si="152"/>
        <v>5.8614986357648151</v>
      </c>
      <c r="CH115" s="752">
        <f t="shared" si="153"/>
        <v>2.4109123006185951E-2</v>
      </c>
      <c r="CI115" s="752">
        <f t="shared" si="154"/>
        <v>1.6125133975160018E-3</v>
      </c>
      <c r="CJ115" s="755">
        <f t="shared" si="155"/>
        <v>5.3688473297856545</v>
      </c>
      <c r="CK115" s="755">
        <f t="shared" si="156"/>
        <v>2.6283611623226837</v>
      </c>
      <c r="CL115" s="755">
        <f t="shared" si="157"/>
        <v>5.0755679048234077</v>
      </c>
      <c r="CM115" s="755">
        <f t="shared" si="158"/>
        <v>9.980542831298834</v>
      </c>
      <c r="CN115" s="755">
        <f t="shared" si="159"/>
        <v>2.6181022229382158</v>
      </c>
      <c r="CO115" s="755">
        <f t="shared" si="160"/>
        <v>3.719822919735015</v>
      </c>
      <c r="CP115" s="755">
        <f t="shared" si="144"/>
        <v>30.136403757732438</v>
      </c>
      <c r="CQ115" s="755">
        <f t="shared" si="161"/>
        <v>4.8853077490631343</v>
      </c>
      <c r="CR115" s="755">
        <f t="shared" si="145"/>
        <v>47.085910163913006</v>
      </c>
      <c r="CS115" s="755">
        <f t="shared" si="162"/>
        <v>21.402686438142275</v>
      </c>
      <c r="CT115" s="755">
        <f t="shared" si="146"/>
        <v>5.8614986357648151</v>
      </c>
      <c r="CU115" s="755">
        <f t="shared" si="147"/>
        <v>4.0553305754407081</v>
      </c>
      <c r="CX115" s="755"/>
      <c r="CY115" s="755"/>
      <c r="CZ115" s="755"/>
      <c r="DA115" s="755"/>
      <c r="DB115" s="755"/>
      <c r="DC115" s="755"/>
      <c r="DD115" s="755" t="b">
        <f t="shared" si="220"/>
        <v>0</v>
      </c>
      <c r="DE115" s="755">
        <f t="shared" si="163"/>
        <v>0.6300077698712907</v>
      </c>
      <c r="DF115" s="755">
        <v>94</v>
      </c>
      <c r="DG115" s="755">
        <f t="shared" si="221"/>
        <v>3</v>
      </c>
      <c r="DH115" s="673">
        <f t="shared" si="164"/>
        <v>2.3699922301287093</v>
      </c>
      <c r="DI115" s="673">
        <f t="shared" si="165"/>
        <v>2</v>
      </c>
      <c r="DJ115" s="766" t="b">
        <f t="shared" si="166"/>
        <v>0</v>
      </c>
      <c r="DK115" s="673"/>
      <c r="DL115" s="766">
        <f t="shared" si="167"/>
        <v>2.3699922301287093</v>
      </c>
      <c r="DM115" s="766">
        <f t="shared" si="168"/>
        <v>0.40958917271643969</v>
      </c>
      <c r="DN115" s="766">
        <f t="shared" si="169"/>
        <v>2.7394942085338023E-2</v>
      </c>
      <c r="DO115" s="766">
        <f t="shared" si="170"/>
        <v>3.4098507868161039</v>
      </c>
      <c r="DP115" s="766">
        <f t="shared" si="171"/>
        <v>2.0527072681480107</v>
      </c>
      <c r="DQ115" s="766">
        <f t="shared" si="172"/>
        <v>2.5000165213965495</v>
      </c>
      <c r="DR115" s="766">
        <f t="shared" si="173"/>
        <v>4.9160059403482874</v>
      </c>
      <c r="DS115" s="766">
        <f t="shared" si="174"/>
        <v>1.7894923773842206</v>
      </c>
      <c r="DT115" s="766">
        <f t="shared" si="175"/>
        <v>2.5744187109256473</v>
      </c>
      <c r="DU115" s="766">
        <f t="shared" si="176"/>
        <v>511.9864658955496</v>
      </c>
      <c r="DV115" s="766">
        <f t="shared" si="177"/>
        <v>82.996347851001048</v>
      </c>
      <c r="DW115" s="766">
        <f t="shared" si="178"/>
        <v>2.7715576377940629</v>
      </c>
      <c r="DX115" s="766">
        <f t="shared" si="179"/>
        <v>1.2597989262700284</v>
      </c>
      <c r="DY115" s="766">
        <f t="shared" si="180"/>
        <v>2.3699922301287093</v>
      </c>
      <c r="DZ115" s="766">
        <f t="shared" si="181"/>
        <v>2.4744833347300874</v>
      </c>
      <c r="EB115" s="755"/>
      <c r="EC115" s="755"/>
      <c r="ED115" s="755"/>
      <c r="EE115" s="755"/>
      <c r="EF115" s="755" t="b">
        <f t="shared" si="222"/>
        <v>0</v>
      </c>
      <c r="EG115" s="755">
        <f t="shared" si="182"/>
        <v>48.138501364235182</v>
      </c>
      <c r="EH115" s="755">
        <v>94</v>
      </c>
      <c r="EI115" s="755">
        <f t="shared" si="227"/>
        <v>54</v>
      </c>
      <c r="EJ115" s="673">
        <f t="shared" si="183"/>
        <v>5.8614986357648151</v>
      </c>
      <c r="EK115" s="673">
        <f t="shared" si="184"/>
        <v>2.2510196371999172</v>
      </c>
      <c r="EL115" s="755" t="b">
        <f t="shared" si="185"/>
        <v>0</v>
      </c>
      <c r="EM115" s="673"/>
      <c r="EN115" s="755">
        <f t="shared" si="186"/>
        <v>5.8614986357648151</v>
      </c>
      <c r="EO115" s="755">
        <f t="shared" si="187"/>
        <v>2.4109123006185951E-2</v>
      </c>
      <c r="EP115" s="755">
        <f t="shared" si="188"/>
        <v>1.6125133975160018E-3</v>
      </c>
      <c r="EQ115" s="755">
        <f t="shared" si="189"/>
        <v>5.3688473297856545</v>
      </c>
      <c r="ER115" s="755">
        <f t="shared" si="190"/>
        <v>2.6283611623226837</v>
      </c>
      <c r="ES115" s="755">
        <f t="shared" si="191"/>
        <v>5.0755679048234077</v>
      </c>
      <c r="ET115" s="755">
        <f t="shared" si="192"/>
        <v>9.980542831298834</v>
      </c>
      <c r="EU115" s="755">
        <f t="shared" si="193"/>
        <v>2.6181022229382158</v>
      </c>
      <c r="EV115" s="755">
        <f t="shared" si="194"/>
        <v>3.719822919735015</v>
      </c>
      <c r="EW115" s="755">
        <f t="shared" si="195"/>
        <v>30.136403757732438</v>
      </c>
      <c r="EX115" s="755">
        <f t="shared" si="196"/>
        <v>4.8853077490631343</v>
      </c>
      <c r="EY115" s="755">
        <f t="shared" si="223"/>
        <v>47.085910163913006</v>
      </c>
      <c r="EZ115" s="755">
        <f t="shared" si="197"/>
        <v>21.402686438142275</v>
      </c>
      <c r="FA115" s="755">
        <f t="shared" si="198"/>
        <v>5.8614986357648151</v>
      </c>
      <c r="FB115" s="755">
        <f t="shared" si="199"/>
        <v>4.0553305754407081</v>
      </c>
      <c r="FC115" s="755"/>
      <c r="FD115" s="755"/>
      <c r="FE115" s="755"/>
      <c r="FF115" s="755"/>
      <c r="FG115" s="755"/>
      <c r="FH115" s="755"/>
      <c r="FI115" s="755"/>
      <c r="FJ115" s="755"/>
      <c r="FK115" s="755" t="b">
        <f t="shared" si="224"/>
        <v>0</v>
      </c>
      <c r="FL115" s="755">
        <f t="shared" si="200"/>
        <v>0.52551666526991259</v>
      </c>
      <c r="FM115" s="755">
        <v>94</v>
      </c>
      <c r="FN115" s="767">
        <f t="shared" si="225"/>
        <v>3</v>
      </c>
      <c r="FO115" s="673">
        <f t="shared" si="201"/>
        <v>2.4744833347300874</v>
      </c>
      <c r="FP115" s="673">
        <f t="shared" si="202"/>
        <v>2.2510196371999172</v>
      </c>
      <c r="FQ115" s="766" t="b">
        <f t="shared" si="203"/>
        <v>0</v>
      </c>
      <c r="FR115" s="673"/>
      <c r="FS115" s="767">
        <f t="shared" si="204"/>
        <v>2.4744833347300874</v>
      </c>
      <c r="FT115" s="766">
        <f t="shared" si="205"/>
        <v>0.40958917271643969</v>
      </c>
      <c r="FU115" s="766">
        <f t="shared" si="206"/>
        <v>2.7394942085338023E-2</v>
      </c>
      <c r="FV115" s="766">
        <f t="shared" si="207"/>
        <v>3.4098507868161039</v>
      </c>
      <c r="FW115" s="766">
        <f t="shared" si="208"/>
        <v>2.0527072681480107</v>
      </c>
      <c r="FX115" s="766">
        <f t="shared" si="209"/>
        <v>2.8137931414939299</v>
      </c>
      <c r="FY115" s="766">
        <f t="shared" si="210"/>
        <v>5.5330129541577193</v>
      </c>
      <c r="FZ115" s="766">
        <f t="shared" si="211"/>
        <v>1.7894923773842206</v>
      </c>
      <c r="GA115" s="766">
        <f t="shared" si="212"/>
        <v>2.5744187109256473</v>
      </c>
      <c r="GB115" s="766">
        <f t="shared" si="213"/>
        <v>511.9864658955496</v>
      </c>
      <c r="GC115" s="766">
        <f t="shared" si="214"/>
        <v>82.996347851001048</v>
      </c>
      <c r="GD115" s="766">
        <f t="shared" si="215"/>
        <v>2.7715576377940629</v>
      </c>
      <c r="GE115" s="766">
        <f t="shared" si="216"/>
        <v>1.2597989262700284</v>
      </c>
      <c r="GF115" s="766">
        <f t="shared" si="217"/>
        <v>2.8091507390421224</v>
      </c>
      <c r="GG115" s="766">
        <f t="shared" si="218"/>
        <v>2.4744833347300874</v>
      </c>
    </row>
    <row r="116" spans="70:189">
      <c r="BY116" s="753" t="b">
        <f t="shared" si="219"/>
        <v>0</v>
      </c>
      <c r="BZ116" s="753">
        <f t="shared" si="148"/>
        <v>48.623505486694732</v>
      </c>
      <c r="CA116" s="751">
        <v>95</v>
      </c>
      <c r="CB116" s="752">
        <f t="shared" si="226"/>
        <v>54.5</v>
      </c>
      <c r="CC116" s="673">
        <f t="shared" si="149"/>
        <v>5.8764945133052668</v>
      </c>
      <c r="CD116" s="91">
        <f t="shared" si="150"/>
        <v>2</v>
      </c>
      <c r="CE116" s="752" t="b">
        <f t="shared" si="151"/>
        <v>0</v>
      </c>
      <c r="CF116" s="673"/>
      <c r="CG116" s="752">
        <f t="shared" si="152"/>
        <v>5.8764945133052668</v>
      </c>
      <c r="CH116" s="752">
        <f t="shared" si="153"/>
        <v>2.3892342135102135E-2</v>
      </c>
      <c r="CI116" s="752">
        <f t="shared" si="154"/>
        <v>1.5980142363952034E-3</v>
      </c>
      <c r="CJ116" s="755">
        <f t="shared" si="155"/>
        <v>5.3708626117173637</v>
      </c>
      <c r="CK116" s="755">
        <f t="shared" si="156"/>
        <v>2.6288339255139652</v>
      </c>
      <c r="CL116" s="755">
        <f t="shared" si="157"/>
        <v>5.0870418954611418</v>
      </c>
      <c r="CM116" s="755">
        <f t="shared" si="158"/>
        <v>10.003105164648174</v>
      </c>
      <c r="CN116" s="755">
        <f t="shared" si="159"/>
        <v>2.6212157017623108</v>
      </c>
      <c r="CO116" s="755">
        <f t="shared" si="160"/>
        <v>3.7241407332952345</v>
      </c>
      <c r="CP116" s="755">
        <f t="shared" si="144"/>
        <v>29.865427668877668</v>
      </c>
      <c r="CQ116" s="755">
        <f t="shared" si="161"/>
        <v>4.8413807564021951</v>
      </c>
      <c r="CR116" s="755">
        <f t="shared" si="145"/>
        <v>47.513131763343857</v>
      </c>
      <c r="CS116" s="755">
        <f t="shared" si="162"/>
        <v>21.596878074247208</v>
      </c>
      <c r="CT116" s="755">
        <f t="shared" si="146"/>
        <v>5.8764945133052668</v>
      </c>
      <c r="CU116" s="755">
        <f t="shared" si="147"/>
        <v>4.0611929163640372</v>
      </c>
      <c r="CX116" s="755"/>
      <c r="CY116" s="755"/>
      <c r="CZ116" s="755"/>
      <c r="DA116" s="755"/>
      <c r="DB116" s="755"/>
      <c r="DC116" s="755"/>
      <c r="DD116" s="755" t="b">
        <f t="shared" si="220"/>
        <v>0</v>
      </c>
      <c r="DE116" s="755">
        <f t="shared" si="163"/>
        <v>0.28379689537320152</v>
      </c>
      <c r="DF116" s="755">
        <v>95</v>
      </c>
      <c r="DG116" s="755">
        <f t="shared" si="221"/>
        <v>2.5</v>
      </c>
      <c r="DH116" s="673">
        <f t="shared" si="164"/>
        <v>2.2162031046267985</v>
      </c>
      <c r="DI116" s="673">
        <f t="shared" si="165"/>
        <v>2</v>
      </c>
      <c r="DJ116" s="766" t="b">
        <f t="shared" si="166"/>
        <v>0</v>
      </c>
      <c r="DK116" s="673"/>
      <c r="DL116" s="766">
        <f t="shared" si="167"/>
        <v>2.2162031046267985</v>
      </c>
      <c r="DM116" s="766">
        <f t="shared" si="168"/>
        <v>0.48971802448845358</v>
      </c>
      <c r="DN116" s="766">
        <f t="shared" si="169"/>
        <v>3.2754276266709681E-2</v>
      </c>
      <c r="DO116" s="766">
        <f t="shared" si="170"/>
        <v>3.1993637952200089</v>
      </c>
      <c r="DP116" s="766">
        <f t="shared" si="171"/>
        <v>1.9742299793935443</v>
      </c>
      <c r="DQ116" s="766">
        <f t="shared" si="172"/>
        <v>2.3908012456751604</v>
      </c>
      <c r="DR116" s="766">
        <f t="shared" si="173"/>
        <v>4.7012461819114906</v>
      </c>
      <c r="DS116" s="766">
        <f t="shared" si="174"/>
        <v>1.7459240797561748</v>
      </c>
      <c r="DT116" s="766">
        <f t="shared" si="175"/>
        <v>2.5144388717729145</v>
      </c>
      <c r="DU116" s="766">
        <f t="shared" si="176"/>
        <v>612.14753061056695</v>
      </c>
      <c r="DV116" s="766">
        <f t="shared" si="177"/>
        <v>99.233110191336323</v>
      </c>
      <c r="DW116" s="766">
        <f t="shared" si="178"/>
        <v>2.3180686501906882</v>
      </c>
      <c r="DX116" s="766">
        <f t="shared" si="179"/>
        <v>1.0536675682684946</v>
      </c>
      <c r="DY116" s="766">
        <f t="shared" si="180"/>
        <v>2.2162031046267985</v>
      </c>
      <c r="DZ116" s="766">
        <f t="shared" si="181"/>
        <v>2.3902646000196421</v>
      </c>
      <c r="EB116" s="755"/>
      <c r="EC116" s="755"/>
      <c r="ED116" s="755"/>
      <c r="EE116" s="755"/>
      <c r="EF116" s="755" t="b">
        <f t="shared" si="222"/>
        <v>0</v>
      </c>
      <c r="EG116" s="755">
        <f t="shared" si="182"/>
        <v>48.623505486694732</v>
      </c>
      <c r="EH116" s="755">
        <v>95</v>
      </c>
      <c r="EI116" s="755">
        <f t="shared" si="227"/>
        <v>54.5</v>
      </c>
      <c r="EJ116" s="673">
        <f t="shared" si="183"/>
        <v>5.8764945133052668</v>
      </c>
      <c r="EK116" s="673">
        <f t="shared" si="184"/>
        <v>2.2510196371999172</v>
      </c>
      <c r="EL116" s="755" t="b">
        <f t="shared" si="185"/>
        <v>0</v>
      </c>
      <c r="EM116" s="673"/>
      <c r="EN116" s="755">
        <f t="shared" si="186"/>
        <v>5.8764945133052668</v>
      </c>
      <c r="EO116" s="755">
        <f t="shared" si="187"/>
        <v>2.3892342135102135E-2</v>
      </c>
      <c r="EP116" s="755">
        <f t="shared" si="188"/>
        <v>1.5980142363952034E-3</v>
      </c>
      <c r="EQ116" s="755">
        <f t="shared" si="189"/>
        <v>5.3708626117173637</v>
      </c>
      <c r="ER116" s="755">
        <f t="shared" si="190"/>
        <v>2.6288339255139652</v>
      </c>
      <c r="ES116" s="755">
        <f t="shared" si="191"/>
        <v>5.0870418954611418</v>
      </c>
      <c r="ET116" s="755">
        <f t="shared" si="192"/>
        <v>10.003105164648174</v>
      </c>
      <c r="EU116" s="755">
        <f t="shared" si="193"/>
        <v>2.6212157017623108</v>
      </c>
      <c r="EV116" s="755">
        <f t="shared" si="194"/>
        <v>3.7241407332952345</v>
      </c>
      <c r="EW116" s="755">
        <f t="shared" si="195"/>
        <v>29.865427668877668</v>
      </c>
      <c r="EX116" s="755">
        <f t="shared" si="196"/>
        <v>4.8413807564021951</v>
      </c>
      <c r="EY116" s="755">
        <f t="shared" si="223"/>
        <v>47.513131763343857</v>
      </c>
      <c r="EZ116" s="755">
        <f t="shared" si="197"/>
        <v>21.596878074247208</v>
      </c>
      <c r="FA116" s="755">
        <f t="shared" si="198"/>
        <v>5.8764945133052668</v>
      </c>
      <c r="FB116" s="755">
        <f t="shared" si="199"/>
        <v>4.0611929163640372</v>
      </c>
      <c r="FC116" s="755"/>
      <c r="FD116" s="755"/>
      <c r="FE116" s="755"/>
      <c r="FF116" s="755"/>
      <c r="FG116" s="755"/>
      <c r="FH116" s="755"/>
      <c r="FI116" s="755"/>
      <c r="FJ116" s="755"/>
      <c r="FK116" s="755" t="b">
        <f t="shared" si="224"/>
        <v>1</v>
      </c>
      <c r="FL116" s="755">
        <f t="shared" si="200"/>
        <v>0.10973539998035786</v>
      </c>
      <c r="FM116" s="755">
        <v>95</v>
      </c>
      <c r="FN116" s="767">
        <f t="shared" si="225"/>
        <v>2.5</v>
      </c>
      <c r="FO116" s="673">
        <f t="shared" si="201"/>
        <v>2.3902646000196421</v>
      </c>
      <c r="FP116" s="673">
        <f t="shared" si="202"/>
        <v>2.2510196371999172</v>
      </c>
      <c r="FQ116" s="766" t="b">
        <f t="shared" si="203"/>
        <v>0</v>
      </c>
      <c r="FR116" s="673"/>
      <c r="FS116" s="767">
        <f t="shared" si="204"/>
        <v>2.3902646000196421</v>
      </c>
      <c r="FT116" s="766">
        <f t="shared" si="205"/>
        <v>0.48971802448845358</v>
      </c>
      <c r="FU116" s="766">
        <f t="shared" si="206"/>
        <v>3.2754276266709681E-2</v>
      </c>
      <c r="FV116" s="766">
        <f t="shared" si="207"/>
        <v>3.1993637952200089</v>
      </c>
      <c r="FW116" s="766">
        <f t="shared" si="208"/>
        <v>1.9742299793935443</v>
      </c>
      <c r="FX116" s="766">
        <f t="shared" si="209"/>
        <v>2.6908702763284049</v>
      </c>
      <c r="FY116" s="766">
        <f t="shared" si="210"/>
        <v>5.29129873739695</v>
      </c>
      <c r="FZ116" s="766">
        <f t="shared" si="211"/>
        <v>1.7459240797561748</v>
      </c>
      <c r="GA116" s="766">
        <f t="shared" si="212"/>
        <v>2.5144388717729145</v>
      </c>
      <c r="GB116" s="766">
        <f t="shared" si="213"/>
        <v>612.14753061056695</v>
      </c>
      <c r="GC116" s="766">
        <f t="shared" si="214"/>
        <v>99.233110191336323</v>
      </c>
      <c r="GD116" s="766">
        <f t="shared" si="215"/>
        <v>2.3180686501906882</v>
      </c>
      <c r="GE116" s="766">
        <f t="shared" si="216"/>
        <v>1.0536675682684946</v>
      </c>
      <c r="GF116" s="766">
        <f t="shared" si="217"/>
        <v>2.6375807084466252</v>
      </c>
      <c r="GG116" s="766">
        <f t="shared" si="218"/>
        <v>2.3902646000196421</v>
      </c>
    </row>
    <row r="117" spans="70:189">
      <c r="BY117" s="753" t="b">
        <f t="shared" si="219"/>
        <v>0</v>
      </c>
      <c r="BZ117" s="753">
        <f t="shared" si="148"/>
        <v>49.108617850231404</v>
      </c>
      <c r="CA117" s="751">
        <v>96</v>
      </c>
      <c r="CB117" s="752">
        <f t="shared" si="226"/>
        <v>55</v>
      </c>
      <c r="CC117" s="673">
        <f t="shared" si="149"/>
        <v>5.8913821497685976</v>
      </c>
      <c r="CD117" s="91">
        <f t="shared" si="150"/>
        <v>2</v>
      </c>
      <c r="CE117" s="752" t="b">
        <f t="shared" si="151"/>
        <v>0</v>
      </c>
      <c r="CF117" s="673"/>
      <c r="CG117" s="752">
        <f t="shared" si="152"/>
        <v>5.8913821497685976</v>
      </c>
      <c r="CH117" s="752">
        <f t="shared" si="153"/>
        <v>2.3679463676079111E-2</v>
      </c>
      <c r="CI117" s="752">
        <f t="shared" si="154"/>
        <v>1.5837760840107672E-3</v>
      </c>
      <c r="CJ117" s="755">
        <f t="shared" si="155"/>
        <v>5.3728435304199635</v>
      </c>
      <c r="CK117" s="755">
        <f t="shared" si="156"/>
        <v>2.6292984265390702</v>
      </c>
      <c r="CL117" s="755">
        <f t="shared" si="157"/>
        <v>5.098436683381312</v>
      </c>
      <c r="CM117" s="755">
        <f t="shared" si="158"/>
        <v>10.025511754614735</v>
      </c>
      <c r="CN117" s="755">
        <f t="shared" si="159"/>
        <v>2.6243040696639657</v>
      </c>
      <c r="CO117" s="755">
        <f t="shared" si="160"/>
        <v>3.7284238072454605</v>
      </c>
      <c r="CP117" s="755">
        <f t="shared" si="144"/>
        <v>29.599329595098887</v>
      </c>
      <c r="CQ117" s="755">
        <f t="shared" si="161"/>
        <v>4.7982445218238174</v>
      </c>
      <c r="CR117" s="755">
        <f t="shared" si="145"/>
        <v>47.940274979571178</v>
      </c>
      <c r="CS117" s="755">
        <f t="shared" si="162"/>
        <v>21.791034081623263</v>
      </c>
      <c r="CT117" s="755">
        <f t="shared" si="146"/>
        <v>5.8913821497685976</v>
      </c>
      <c r="CU117" s="755">
        <f t="shared" si="147"/>
        <v>4.067007383225735</v>
      </c>
      <c r="CX117" s="755"/>
      <c r="CY117" s="755"/>
      <c r="CZ117" s="755"/>
      <c r="DA117" s="755"/>
      <c r="DB117" s="755"/>
      <c r="DC117" s="755"/>
      <c r="DD117" s="755" t="b">
        <f t="shared" si="220"/>
        <v>1</v>
      </c>
      <c r="DE117" s="755">
        <f t="shared" si="163"/>
        <v>3.6481703304890978E-2</v>
      </c>
      <c r="DF117" s="755">
        <v>96</v>
      </c>
      <c r="DG117" s="755">
        <f t="shared" si="221"/>
        <v>2</v>
      </c>
      <c r="DH117" s="673">
        <f t="shared" si="164"/>
        <v>2.036481703304891</v>
      </c>
      <c r="DI117" s="673">
        <f t="shared" si="165"/>
        <v>2</v>
      </c>
      <c r="DJ117" s="766" t="b">
        <f t="shared" si="166"/>
        <v>0</v>
      </c>
      <c r="DK117" s="673"/>
      <c r="DL117" s="766">
        <f t="shared" si="167"/>
        <v>2.036481703304891</v>
      </c>
      <c r="DM117" s="766">
        <f t="shared" si="168"/>
        <v>0.6094216822115891</v>
      </c>
      <c r="DN117" s="766">
        <f t="shared" si="169"/>
        <v>4.0760529823120652E-2</v>
      </c>
      <c r="DO117" s="766">
        <f t="shared" si="170"/>
        <v>2.940084125781683</v>
      </c>
      <c r="DP117" s="766">
        <f t="shared" si="171"/>
        <v>1.8721344002754694</v>
      </c>
      <c r="DQ117" s="766">
        <f t="shared" si="172"/>
        <v>2.263604352088028</v>
      </c>
      <c r="DR117" s="766">
        <f t="shared" si="173"/>
        <v>4.4511275610477812</v>
      </c>
      <c r="DS117" s="766">
        <f t="shared" si="174"/>
        <v>1.6938237937032092</v>
      </c>
      <c r="DT117" s="766">
        <f t="shared" si="175"/>
        <v>2.4427500521198131</v>
      </c>
      <c r="DU117" s="766">
        <f t="shared" si="176"/>
        <v>761.77710276448636</v>
      </c>
      <c r="DV117" s="766">
        <f t="shared" si="177"/>
        <v>123.48904046785402</v>
      </c>
      <c r="DW117" s="766">
        <f t="shared" si="178"/>
        <v>1.8627496085803237</v>
      </c>
      <c r="DX117" s="766">
        <f t="shared" si="179"/>
        <v>0.84670436753651068</v>
      </c>
      <c r="DY117" s="766">
        <f t="shared" si="180"/>
        <v>2.036481703304891</v>
      </c>
      <c r="DZ117" s="766">
        <f t="shared" si="181"/>
        <v>2.2894140657605164</v>
      </c>
      <c r="EB117" s="755"/>
      <c r="EC117" s="755"/>
      <c r="ED117" s="755"/>
      <c r="EE117" s="755"/>
      <c r="EF117" s="755" t="b">
        <f t="shared" si="222"/>
        <v>0</v>
      </c>
      <c r="EG117" s="755">
        <f t="shared" si="182"/>
        <v>49.108617850231404</v>
      </c>
      <c r="EH117" s="755">
        <v>96</v>
      </c>
      <c r="EI117" s="755">
        <f t="shared" si="227"/>
        <v>55</v>
      </c>
      <c r="EJ117" s="673">
        <f t="shared" si="183"/>
        <v>5.8913821497685976</v>
      </c>
      <c r="EK117" s="673">
        <f t="shared" si="184"/>
        <v>2.2510196371999172</v>
      </c>
      <c r="EL117" s="755" t="b">
        <f t="shared" si="185"/>
        <v>0</v>
      </c>
      <c r="EM117" s="673"/>
      <c r="EN117" s="755">
        <f t="shared" si="186"/>
        <v>5.8913821497685976</v>
      </c>
      <c r="EO117" s="755">
        <f t="shared" si="187"/>
        <v>2.3679463676079111E-2</v>
      </c>
      <c r="EP117" s="755">
        <f t="shared" si="188"/>
        <v>1.5837760840107672E-3</v>
      </c>
      <c r="EQ117" s="755">
        <f t="shared" si="189"/>
        <v>5.3728435304199635</v>
      </c>
      <c r="ER117" s="755">
        <f t="shared" si="190"/>
        <v>2.6292984265390702</v>
      </c>
      <c r="ES117" s="755">
        <f t="shared" si="191"/>
        <v>5.098436683381312</v>
      </c>
      <c r="ET117" s="755">
        <f t="shared" si="192"/>
        <v>10.025511754614735</v>
      </c>
      <c r="EU117" s="755">
        <f t="shared" si="193"/>
        <v>2.6243040696639657</v>
      </c>
      <c r="EV117" s="755">
        <f t="shared" si="194"/>
        <v>3.7284238072454605</v>
      </c>
      <c r="EW117" s="755">
        <f t="shared" si="195"/>
        <v>29.599329595098887</v>
      </c>
      <c r="EX117" s="755">
        <f t="shared" si="196"/>
        <v>4.7982445218238174</v>
      </c>
      <c r="EY117" s="755">
        <f t="shared" si="223"/>
        <v>47.940274979571178</v>
      </c>
      <c r="EZ117" s="755">
        <f t="shared" si="197"/>
        <v>21.791034081623263</v>
      </c>
      <c r="FA117" s="755">
        <f t="shared" si="198"/>
        <v>5.8913821497685976</v>
      </c>
      <c r="FB117" s="755">
        <f t="shared" si="199"/>
        <v>4.067007383225735</v>
      </c>
      <c r="FC117" s="755"/>
      <c r="FD117" s="755"/>
      <c r="FE117" s="755"/>
      <c r="FF117" s="755"/>
      <c r="FG117" s="755"/>
      <c r="FH117" s="755"/>
      <c r="FI117" s="755"/>
      <c r="FJ117" s="755"/>
      <c r="FK117" s="755" t="b">
        <f t="shared" si="224"/>
        <v>0</v>
      </c>
      <c r="FL117" s="755">
        <f t="shared" si="200"/>
        <v>0.28941406576051643</v>
      </c>
      <c r="FM117" s="755">
        <v>96</v>
      </c>
      <c r="FN117" s="767">
        <f t="shared" si="225"/>
        <v>2</v>
      </c>
      <c r="FO117" s="673">
        <f t="shared" si="201"/>
        <v>2.2894140657605164</v>
      </c>
      <c r="FP117" s="673">
        <f t="shared" si="202"/>
        <v>2.2510196371999172</v>
      </c>
      <c r="FQ117" s="766" t="b">
        <f t="shared" si="203"/>
        <v>1</v>
      </c>
      <c r="FR117" s="673"/>
      <c r="FS117" s="767">
        <f t="shared" si="204"/>
        <v>2.2894140657605164</v>
      </c>
      <c r="FT117" s="766">
        <f t="shared" si="205"/>
        <v>0.6094216822115891</v>
      </c>
      <c r="FU117" s="766">
        <f t="shared" si="206"/>
        <v>4.0760529823120652E-2</v>
      </c>
      <c r="FV117" s="766">
        <f t="shared" si="207"/>
        <v>2.940084125781683</v>
      </c>
      <c r="FW117" s="766">
        <f t="shared" si="208"/>
        <v>1.8721344002754694</v>
      </c>
      <c r="FX117" s="766">
        <f t="shared" si="209"/>
        <v>2.5477089237006734</v>
      </c>
      <c r="FY117" s="766">
        <f t="shared" si="210"/>
        <v>5.0097877738001646</v>
      </c>
      <c r="FZ117" s="766">
        <f t="shared" si="211"/>
        <v>1.6938237937032092</v>
      </c>
      <c r="GA117" s="766">
        <f t="shared" si="212"/>
        <v>2.4427500521198131</v>
      </c>
      <c r="GB117" s="766">
        <f t="shared" si="213"/>
        <v>761.77710276448636</v>
      </c>
      <c r="GC117" s="766">
        <f t="shared" si="214"/>
        <v>123.48904046785402</v>
      </c>
      <c r="GD117" s="766">
        <f t="shared" si="215"/>
        <v>1.8627496085803237</v>
      </c>
      <c r="GE117" s="766">
        <f t="shared" si="216"/>
        <v>0.84670436753651068</v>
      </c>
      <c r="GF117" s="766">
        <f t="shared" si="217"/>
        <v>2.4369976140132423</v>
      </c>
      <c r="GG117" s="766">
        <f t="shared" si="218"/>
        <v>2.2894140657605164</v>
      </c>
    </row>
    <row r="118" spans="70:189">
      <c r="BY118" s="753" t="b">
        <f t="shared" si="219"/>
        <v>0</v>
      </c>
      <c r="BZ118" s="753">
        <f t="shared" si="148"/>
        <v>49.593836709792164</v>
      </c>
      <c r="CA118" s="751">
        <v>97</v>
      </c>
      <c r="CB118" s="752">
        <f t="shared" si="226"/>
        <v>55.5</v>
      </c>
      <c r="CC118" s="673">
        <f t="shared" si="149"/>
        <v>5.906163290207834</v>
      </c>
      <c r="CD118" s="91">
        <f t="shared" si="150"/>
        <v>2</v>
      </c>
      <c r="CE118" s="752" t="b">
        <f t="shared" si="151"/>
        <v>0</v>
      </c>
      <c r="CF118" s="673"/>
      <c r="CG118" s="752">
        <f t="shared" si="152"/>
        <v>5.906163290207834</v>
      </c>
      <c r="CH118" s="752">
        <f t="shared" si="153"/>
        <v>2.3470382852161398E-2</v>
      </c>
      <c r="CI118" s="752">
        <f t="shared" si="154"/>
        <v>1.5697919324659561E-3</v>
      </c>
      <c r="CJ118" s="755">
        <f t="shared" si="155"/>
        <v>5.37479096076519</v>
      </c>
      <c r="CK118" s="755">
        <f t="shared" si="156"/>
        <v>2.6297548808788083</v>
      </c>
      <c r="CL118" s="755">
        <f t="shared" si="157"/>
        <v>5.1097535279352959</v>
      </c>
      <c r="CM118" s="755">
        <f t="shared" si="158"/>
        <v>10.0477650775737</v>
      </c>
      <c r="CN118" s="755">
        <f t="shared" si="159"/>
        <v>2.6273677549422936</v>
      </c>
      <c r="CO118" s="755">
        <f t="shared" si="160"/>
        <v>3.7326727333453178</v>
      </c>
      <c r="CP118" s="755">
        <f t="shared" si="144"/>
        <v>29.337978565201748</v>
      </c>
      <c r="CQ118" s="755">
        <f t="shared" si="161"/>
        <v>4.7558778140425506</v>
      </c>
      <c r="CR118" s="755">
        <f t="shared" si="145"/>
        <v>48.367340539375093</v>
      </c>
      <c r="CS118" s="755">
        <f t="shared" si="162"/>
        <v>21.985154790625039</v>
      </c>
      <c r="CT118" s="755">
        <f t="shared" si="146"/>
        <v>5.906163290207834</v>
      </c>
      <c r="CU118" s="755">
        <f t="shared" si="147"/>
        <v>4.072774796499</v>
      </c>
      <c r="CX118" s="755"/>
      <c r="CY118" s="755"/>
      <c r="CZ118" s="755"/>
      <c r="DA118" s="755"/>
      <c r="DB118" s="755"/>
      <c r="DC118" s="755"/>
      <c r="DD118" s="755" t="b">
        <f t="shared" si="220"/>
        <v>0</v>
      </c>
      <c r="DE118" s="755">
        <f t="shared" si="163"/>
        <v>0.31793066499004086</v>
      </c>
      <c r="DF118" s="755">
        <v>97</v>
      </c>
      <c r="DG118" s="755">
        <f t="shared" si="221"/>
        <v>1.5</v>
      </c>
      <c r="DH118" s="673">
        <f t="shared" si="164"/>
        <v>1.8179306649900409</v>
      </c>
      <c r="DI118" s="673">
        <f t="shared" si="165"/>
        <v>2</v>
      </c>
      <c r="DJ118" s="766" t="b">
        <f t="shared" si="166"/>
        <v>1</v>
      </c>
      <c r="DK118" s="673"/>
      <c r="DL118" s="766">
        <f t="shared" si="167"/>
        <v>1.8179306649900409</v>
      </c>
      <c r="DM118" s="766">
        <f t="shared" si="168"/>
        <v>0.80790047507866392</v>
      </c>
      <c r="DN118" s="766">
        <f t="shared" si="169"/>
        <v>5.4035575644523735E-2</v>
      </c>
      <c r="DO118" s="766">
        <f t="shared" si="170"/>
        <v>2.6102593504769254</v>
      </c>
      <c r="DP118" s="766">
        <f t="shared" si="171"/>
        <v>1.7329686703982894</v>
      </c>
      <c r="DQ118" s="766">
        <f t="shared" si="172"/>
        <v>2.1095534313404274</v>
      </c>
      <c r="DR118" s="766">
        <f t="shared" si="173"/>
        <v>4.1482034663348877</v>
      </c>
      <c r="DS118" s="766">
        <f t="shared" si="174"/>
        <v>1.6285866445511898</v>
      </c>
      <c r="DT118" s="766">
        <f t="shared" si="175"/>
        <v>2.3530422372169237</v>
      </c>
      <c r="DU118" s="766">
        <f t="shared" si="176"/>
        <v>1009.8755938483299</v>
      </c>
      <c r="DV118" s="766">
        <f t="shared" si="177"/>
        <v>163.70742520832877</v>
      </c>
      <c r="DW118" s="766">
        <f t="shared" si="178"/>
        <v>1.4051235703128748</v>
      </c>
      <c r="DX118" s="766">
        <f t="shared" si="179"/>
        <v>0.63869253196039755</v>
      </c>
      <c r="DY118" s="766">
        <f t="shared" si="180"/>
        <v>1.8179306649900409</v>
      </c>
      <c r="DZ118" s="766">
        <f t="shared" si="181"/>
        <v>2.1629208029372413</v>
      </c>
      <c r="EB118" s="755"/>
      <c r="EC118" s="755"/>
      <c r="ED118" s="755"/>
      <c r="EE118" s="755"/>
      <c r="EF118" s="755" t="b">
        <f t="shared" si="222"/>
        <v>0</v>
      </c>
      <c r="EG118" s="755">
        <f t="shared" si="182"/>
        <v>49.593836709792164</v>
      </c>
      <c r="EH118" s="755">
        <v>97</v>
      </c>
      <c r="EI118" s="755">
        <f t="shared" si="227"/>
        <v>55.5</v>
      </c>
      <c r="EJ118" s="673">
        <f t="shared" si="183"/>
        <v>5.906163290207834</v>
      </c>
      <c r="EK118" s="673">
        <f t="shared" si="184"/>
        <v>2.2510196371999172</v>
      </c>
      <c r="EL118" s="755" t="b">
        <f t="shared" si="185"/>
        <v>0</v>
      </c>
      <c r="EM118" s="673"/>
      <c r="EN118" s="755">
        <f t="shared" si="186"/>
        <v>5.906163290207834</v>
      </c>
      <c r="EO118" s="755">
        <f t="shared" si="187"/>
        <v>2.3470382852161398E-2</v>
      </c>
      <c r="EP118" s="755">
        <f t="shared" si="188"/>
        <v>1.5697919324659561E-3</v>
      </c>
      <c r="EQ118" s="755">
        <f t="shared" si="189"/>
        <v>5.37479096076519</v>
      </c>
      <c r="ER118" s="755">
        <f t="shared" si="190"/>
        <v>2.6297548808788083</v>
      </c>
      <c r="ES118" s="755">
        <f t="shared" si="191"/>
        <v>5.1097535279352959</v>
      </c>
      <c r="ET118" s="755">
        <f t="shared" si="192"/>
        <v>10.0477650775737</v>
      </c>
      <c r="EU118" s="755">
        <f t="shared" si="193"/>
        <v>2.6273677549422936</v>
      </c>
      <c r="EV118" s="755">
        <f t="shared" si="194"/>
        <v>3.7326727333453178</v>
      </c>
      <c r="EW118" s="755">
        <f t="shared" si="195"/>
        <v>29.337978565201748</v>
      </c>
      <c r="EX118" s="755">
        <f t="shared" si="196"/>
        <v>4.7558778140425506</v>
      </c>
      <c r="EY118" s="755">
        <f t="shared" si="223"/>
        <v>48.367340539375093</v>
      </c>
      <c r="EZ118" s="755">
        <f t="shared" si="197"/>
        <v>21.985154790625039</v>
      </c>
      <c r="FA118" s="755">
        <f t="shared" si="198"/>
        <v>5.906163290207834</v>
      </c>
      <c r="FB118" s="755">
        <f t="shared" si="199"/>
        <v>4.072774796499</v>
      </c>
      <c r="FC118" s="755"/>
      <c r="FD118" s="755"/>
      <c r="FE118" s="755"/>
      <c r="FF118" s="755"/>
      <c r="FG118" s="755"/>
      <c r="FH118" s="755"/>
      <c r="FI118" s="755"/>
      <c r="FJ118" s="755"/>
      <c r="FK118" s="755" t="b">
        <f t="shared" si="224"/>
        <v>0</v>
      </c>
      <c r="FL118" s="755">
        <f t="shared" si="200"/>
        <v>0.66292080293724132</v>
      </c>
      <c r="FM118" s="755">
        <v>97</v>
      </c>
      <c r="FN118" s="767">
        <f t="shared" si="225"/>
        <v>1.5</v>
      </c>
      <c r="FO118" s="673">
        <f t="shared" si="201"/>
        <v>2.1629208029372413</v>
      </c>
      <c r="FP118" s="673">
        <f t="shared" si="202"/>
        <v>2.2510196371999172</v>
      </c>
      <c r="FQ118" s="766" t="b">
        <f t="shared" si="203"/>
        <v>1</v>
      </c>
      <c r="FR118" s="673"/>
      <c r="FS118" s="767">
        <f t="shared" si="204"/>
        <v>2.1629208029372413</v>
      </c>
      <c r="FT118" s="766">
        <f t="shared" si="205"/>
        <v>0.80790047507866392</v>
      </c>
      <c r="FU118" s="766">
        <f t="shared" si="206"/>
        <v>5.4035575644523735E-2</v>
      </c>
      <c r="FV118" s="766">
        <f t="shared" si="207"/>
        <v>2.6102593504769254</v>
      </c>
      <c r="FW118" s="766">
        <f t="shared" si="208"/>
        <v>1.7329686703982894</v>
      </c>
      <c r="FX118" s="766">
        <f t="shared" si="209"/>
        <v>2.3743230998348848</v>
      </c>
      <c r="FY118" s="766">
        <f t="shared" si="210"/>
        <v>4.6688437309102993</v>
      </c>
      <c r="FZ118" s="766">
        <f t="shared" si="211"/>
        <v>1.6285866445511898</v>
      </c>
      <c r="GA118" s="766">
        <f t="shared" si="212"/>
        <v>2.3530422372169237</v>
      </c>
      <c r="GB118" s="766">
        <f t="shared" si="213"/>
        <v>1009.8755938483299</v>
      </c>
      <c r="GC118" s="766">
        <f t="shared" si="214"/>
        <v>163.70742520832877</v>
      </c>
      <c r="GD118" s="766">
        <f t="shared" si="215"/>
        <v>1.4051235703128748</v>
      </c>
      <c r="GE118" s="766">
        <f t="shared" si="216"/>
        <v>0.63869253196039755</v>
      </c>
      <c r="GF118" s="766">
        <f t="shared" si="217"/>
        <v>2.1929576852765291</v>
      </c>
      <c r="GG118" s="766">
        <f t="shared" si="218"/>
        <v>2.1629208029372413</v>
      </c>
    </row>
    <row r="119" spans="70:189">
      <c r="BY119" s="753" t="b">
        <f t="shared" si="219"/>
        <v>0</v>
      </c>
      <c r="BZ119" s="753">
        <f t="shared" si="148"/>
        <v>50.079160363821103</v>
      </c>
      <c r="CA119" s="751">
        <v>98</v>
      </c>
      <c r="CB119" s="752">
        <f t="shared" si="226"/>
        <v>56</v>
      </c>
      <c r="CC119" s="673">
        <f t="shared" si="149"/>
        <v>5.9208396361788971</v>
      </c>
      <c r="CD119" s="91">
        <f t="shared" si="150"/>
        <v>2</v>
      </c>
      <c r="CE119" s="752" t="b">
        <f t="shared" si="151"/>
        <v>0</v>
      </c>
      <c r="CF119" s="673"/>
      <c r="CG119" s="752">
        <f t="shared" si="152"/>
        <v>5.9208396361788971</v>
      </c>
      <c r="CH119" s="752">
        <f t="shared" si="153"/>
        <v>2.3264998610052472E-2</v>
      </c>
      <c r="CI119" s="752">
        <f t="shared" si="154"/>
        <v>1.5560550229170547E-3</v>
      </c>
      <c r="CJ119" s="755">
        <f t="shared" si="155"/>
        <v>5.3767057481133174</v>
      </c>
      <c r="CK119" s="755">
        <f t="shared" si="156"/>
        <v>2.6302034965715992</v>
      </c>
      <c r="CL119" s="755">
        <f t="shared" si="157"/>
        <v>5.1209936573225487</v>
      </c>
      <c r="CM119" s="755">
        <f t="shared" si="158"/>
        <v>10.069867548643431</v>
      </c>
      <c r="CN119" s="755">
        <f t="shared" si="159"/>
        <v>2.6304071748113591</v>
      </c>
      <c r="CO119" s="755">
        <f t="shared" si="160"/>
        <v>3.7368880880523614</v>
      </c>
      <c r="CP119" s="755">
        <f t="shared" si="144"/>
        <v>29.081248262565591</v>
      </c>
      <c r="CQ119" s="755">
        <f t="shared" si="161"/>
        <v>4.7142601563097184</v>
      </c>
      <c r="CR119" s="755">
        <f t="shared" si="145"/>
        <v>48.794329156310212</v>
      </c>
      <c r="CS119" s="755">
        <f t="shared" si="162"/>
        <v>22.179240525595549</v>
      </c>
      <c r="CT119" s="755">
        <f t="shared" si="146"/>
        <v>5.9208396361788971</v>
      </c>
      <c r="CU119" s="755">
        <f t="shared" si="147"/>
        <v>4.0784959553615732</v>
      </c>
      <c r="CX119" s="755"/>
      <c r="CY119" s="755"/>
      <c r="CZ119" s="755"/>
      <c r="DA119" s="755"/>
      <c r="DB119" s="755"/>
      <c r="DC119" s="755"/>
      <c r="DD119" s="755" t="b">
        <f t="shared" si="220"/>
        <v>0</v>
      </c>
      <c r="DE119" s="755">
        <f t="shared" si="163"/>
        <v>0.53346468356108678</v>
      </c>
      <c r="DF119" s="755">
        <v>98</v>
      </c>
      <c r="DG119" s="755">
        <f t="shared" si="221"/>
        <v>1</v>
      </c>
      <c r="DH119" s="673">
        <f t="shared" si="164"/>
        <v>1.5334646835610868</v>
      </c>
      <c r="DI119" s="673">
        <f t="shared" si="165"/>
        <v>2</v>
      </c>
      <c r="DJ119" s="766" t="b">
        <f t="shared" si="166"/>
        <v>1</v>
      </c>
      <c r="DK119" s="673"/>
      <c r="DL119" s="766">
        <f t="shared" si="167"/>
        <v>1.5334646835610868</v>
      </c>
      <c r="DM119" s="766">
        <f t="shared" si="168"/>
        <v>1.2020631876488561</v>
      </c>
      <c r="DN119" s="766">
        <f t="shared" si="169"/>
        <v>8.039873512807702E-2</v>
      </c>
      <c r="DO119" s="766">
        <f t="shared" si="170"/>
        <v>2.169597665010524</v>
      </c>
      <c r="DP119" s="766">
        <f t="shared" si="171"/>
        <v>1.5291913787991402</v>
      </c>
      <c r="DQ119" s="766">
        <f t="shared" si="172"/>
        <v>1.9100651084805327</v>
      </c>
      <c r="DR119" s="766">
        <f t="shared" si="173"/>
        <v>3.7559317466017981</v>
      </c>
      <c r="DS119" s="766">
        <f t="shared" si="174"/>
        <v>1.5402018910009037</v>
      </c>
      <c r="DT119" s="766">
        <f t="shared" si="175"/>
        <v>2.2316048988676767</v>
      </c>
      <c r="DU119" s="766">
        <f t="shared" si="176"/>
        <v>1502.5789845610702</v>
      </c>
      <c r="DV119" s="766">
        <f t="shared" si="177"/>
        <v>243.57786071180314</v>
      </c>
      <c r="DW119" s="766">
        <f t="shared" si="178"/>
        <v>0.94437631204759254</v>
      </c>
      <c r="DX119" s="766">
        <f t="shared" si="179"/>
        <v>0.42926196002163292</v>
      </c>
      <c r="DY119" s="766">
        <f t="shared" si="180"/>
        <v>1.5334646835610868</v>
      </c>
      <c r="DZ119" s="766">
        <f t="shared" si="181"/>
        <v>1.9911643871459765</v>
      </c>
      <c r="EB119" s="755"/>
      <c r="EC119" s="755"/>
      <c r="ED119" s="755"/>
      <c r="EE119" s="755"/>
      <c r="EF119" s="755" t="b">
        <f t="shared" si="222"/>
        <v>0</v>
      </c>
      <c r="EG119" s="755">
        <f t="shared" si="182"/>
        <v>50.079160363821103</v>
      </c>
      <c r="EH119" s="755">
        <v>98</v>
      </c>
      <c r="EI119" s="755">
        <f t="shared" si="227"/>
        <v>56</v>
      </c>
      <c r="EJ119" s="673">
        <f t="shared" si="183"/>
        <v>5.9208396361788971</v>
      </c>
      <c r="EK119" s="673">
        <f t="shared" si="184"/>
        <v>2.2510196371999172</v>
      </c>
      <c r="EL119" s="755" t="b">
        <f t="shared" si="185"/>
        <v>0</v>
      </c>
      <c r="EM119" s="673"/>
      <c r="EN119" s="755">
        <f t="shared" si="186"/>
        <v>5.9208396361788971</v>
      </c>
      <c r="EO119" s="755">
        <f t="shared" si="187"/>
        <v>2.3264998610052472E-2</v>
      </c>
      <c r="EP119" s="755">
        <f t="shared" si="188"/>
        <v>1.5560550229170547E-3</v>
      </c>
      <c r="EQ119" s="755">
        <f t="shared" si="189"/>
        <v>5.3767057481133174</v>
      </c>
      <c r="ER119" s="755">
        <f t="shared" si="190"/>
        <v>2.6302034965715992</v>
      </c>
      <c r="ES119" s="755">
        <f t="shared" si="191"/>
        <v>5.1209936573225487</v>
      </c>
      <c r="ET119" s="755">
        <f t="shared" si="192"/>
        <v>10.069867548643431</v>
      </c>
      <c r="EU119" s="755">
        <f t="shared" si="193"/>
        <v>2.6304071748113591</v>
      </c>
      <c r="EV119" s="755">
        <f t="shared" si="194"/>
        <v>3.7368880880523614</v>
      </c>
      <c r="EW119" s="755">
        <f t="shared" si="195"/>
        <v>29.081248262565591</v>
      </c>
      <c r="EX119" s="755">
        <f t="shared" si="196"/>
        <v>4.7142601563097184</v>
      </c>
      <c r="EY119" s="755">
        <f t="shared" si="223"/>
        <v>48.794329156310212</v>
      </c>
      <c r="EZ119" s="755">
        <f t="shared" si="197"/>
        <v>22.179240525595549</v>
      </c>
      <c r="FA119" s="755">
        <f t="shared" si="198"/>
        <v>5.9208396361788971</v>
      </c>
      <c r="FB119" s="755">
        <f t="shared" si="199"/>
        <v>4.0784959553615732</v>
      </c>
      <c r="FC119" s="755"/>
      <c r="FD119" s="755"/>
      <c r="FE119" s="755"/>
      <c r="FF119" s="755"/>
      <c r="FG119" s="755"/>
      <c r="FH119" s="755"/>
      <c r="FI119" s="755"/>
      <c r="FJ119" s="755"/>
      <c r="FK119" s="755" t="b">
        <f t="shared" si="224"/>
        <v>0</v>
      </c>
      <c r="FL119" s="755">
        <f t="shared" si="200"/>
        <v>0.99116438714597654</v>
      </c>
      <c r="FM119" s="755">
        <v>98</v>
      </c>
      <c r="FN119" s="767">
        <f t="shared" si="225"/>
        <v>1</v>
      </c>
      <c r="FO119" s="673">
        <f t="shared" si="201"/>
        <v>1.9911643871459765</v>
      </c>
      <c r="FP119" s="673">
        <f t="shared" si="202"/>
        <v>2.2510196371999172</v>
      </c>
      <c r="FQ119" s="766" t="b">
        <f t="shared" si="203"/>
        <v>1</v>
      </c>
      <c r="FR119" s="673"/>
      <c r="FS119" s="767">
        <f t="shared" si="204"/>
        <v>1.9911643871459765</v>
      </c>
      <c r="FT119" s="766">
        <f t="shared" si="205"/>
        <v>1.2020631876488561</v>
      </c>
      <c r="FU119" s="766">
        <f t="shared" si="206"/>
        <v>8.039873512807702E-2</v>
      </c>
      <c r="FV119" s="766">
        <f t="shared" si="207"/>
        <v>2.169597665010524</v>
      </c>
      <c r="FW119" s="766">
        <f t="shared" si="208"/>
        <v>1.5291913787991402</v>
      </c>
      <c r="FX119" s="766">
        <f t="shared" si="209"/>
        <v>2.1497970337600347</v>
      </c>
      <c r="FY119" s="766">
        <f t="shared" si="210"/>
        <v>4.2273380587916156</v>
      </c>
      <c r="FZ119" s="766">
        <f t="shared" si="211"/>
        <v>1.5402018910009037</v>
      </c>
      <c r="GA119" s="766">
        <f t="shared" si="212"/>
        <v>2.2316048988676767</v>
      </c>
      <c r="GB119" s="766">
        <f t="shared" si="213"/>
        <v>1502.5789845610702</v>
      </c>
      <c r="GC119" s="766">
        <f t="shared" si="214"/>
        <v>243.57786071180314</v>
      </c>
      <c r="GD119" s="766">
        <f t="shared" si="215"/>
        <v>0.94437631204759254</v>
      </c>
      <c r="GE119" s="766">
        <f t="shared" si="216"/>
        <v>0.42926196002163292</v>
      </c>
      <c r="GF119" s="766">
        <f t="shared" si="217"/>
        <v>1.8751180448032205</v>
      </c>
      <c r="GG119" s="766">
        <f t="shared" si="218"/>
        <v>1.9911643871459765</v>
      </c>
    </row>
    <row r="120" spans="70:189">
      <c r="BY120" s="753" t="b">
        <f t="shared" si="219"/>
        <v>0</v>
      </c>
      <c r="BZ120" s="753">
        <f t="shared" si="148"/>
        <v>50.564587152798488</v>
      </c>
      <c r="CA120" s="751">
        <v>99</v>
      </c>
      <c r="CB120" s="752">
        <f t="shared" si="226"/>
        <v>56.5</v>
      </c>
      <c r="CC120" s="673">
        <f t="shared" si="149"/>
        <v>5.9354128472015102</v>
      </c>
      <c r="CD120" s="91">
        <f t="shared" si="150"/>
        <v>2</v>
      </c>
      <c r="CE120" s="752" t="b">
        <f t="shared" si="151"/>
        <v>0</v>
      </c>
      <c r="CF120" s="673"/>
      <c r="CG120" s="752">
        <f t="shared" si="152"/>
        <v>5.9354128472015102</v>
      </c>
      <c r="CH120" s="752">
        <f t="shared" si="153"/>
        <v>2.3063213455995421E-2</v>
      </c>
      <c r="CI120" s="752">
        <f t="shared" si="154"/>
        <v>1.5425588345964203E-3</v>
      </c>
      <c r="CJ120" s="755">
        <f t="shared" si="155"/>
        <v>5.3785887095488754</v>
      </c>
      <c r="CK120" s="755">
        <f t="shared" si="156"/>
        <v>2.6306444745324109</v>
      </c>
      <c r="CL120" s="755">
        <f t="shared" si="157"/>
        <v>5.1321582696315593</v>
      </c>
      <c r="CM120" s="755">
        <f t="shared" si="158"/>
        <v>10.091821523732413</v>
      </c>
      <c r="CN120" s="755">
        <f t="shared" si="159"/>
        <v>2.633422735783149</v>
      </c>
      <c r="CO120" s="755">
        <f t="shared" si="160"/>
        <v>3.7410704330503868</v>
      </c>
      <c r="CP120" s="755">
        <f t="shared" si="144"/>
        <v>28.829016819994276</v>
      </c>
      <c r="CQ120" s="755">
        <f t="shared" si="161"/>
        <v>4.6733717931574015</v>
      </c>
      <c r="CR120" s="755">
        <f t="shared" si="145"/>
        <v>49.221241531062439</v>
      </c>
      <c r="CS120" s="755">
        <f t="shared" si="162"/>
        <v>22.373291605028381</v>
      </c>
      <c r="CT120" s="755">
        <f t="shared" si="146"/>
        <v>5.9354128472015102</v>
      </c>
      <c r="CU120" s="755">
        <f t="shared" si="147"/>
        <v>4.0841716384329212</v>
      </c>
      <c r="CX120" s="755"/>
      <c r="CY120" s="755"/>
      <c r="CZ120" s="755"/>
      <c r="DA120" s="755"/>
      <c r="DB120" s="755"/>
      <c r="DC120" s="755"/>
      <c r="DD120" s="755" t="b">
        <f t="shared" si="220"/>
        <v>0</v>
      </c>
      <c r="DE120" s="755">
        <f t="shared" si="163"/>
        <v>0.6049749691625852</v>
      </c>
      <c r="DF120" s="755">
        <v>99</v>
      </c>
      <c r="DG120" s="755">
        <f t="shared" si="221"/>
        <v>0.5</v>
      </c>
      <c r="DH120" s="673">
        <f t="shared" si="164"/>
        <v>1.1049749691625852</v>
      </c>
      <c r="DI120" s="673">
        <f t="shared" si="165"/>
        <v>2</v>
      </c>
      <c r="DJ120" s="766" t="b">
        <f t="shared" si="166"/>
        <v>1</v>
      </c>
      <c r="DK120" s="673"/>
      <c r="DL120" s="766">
        <f t="shared" si="167"/>
        <v>1.1049749691625852</v>
      </c>
      <c r="DM120" s="766">
        <f t="shared" si="168"/>
        <v>2.3710280570536808</v>
      </c>
      <c r="DN120" s="766">
        <f t="shared" si="169"/>
        <v>0.15858372396641737</v>
      </c>
      <c r="DO120" s="766">
        <f t="shared" si="170"/>
        <v>1.5240790902146102</v>
      </c>
      <c r="DP120" s="766">
        <f t="shared" si="171"/>
        <v>1.1881517258235548</v>
      </c>
      <c r="DQ120" s="766">
        <f t="shared" si="172"/>
        <v>1.6117431101726694</v>
      </c>
      <c r="DR120" s="766">
        <f t="shared" si="173"/>
        <v>3.1693145369688045</v>
      </c>
      <c r="DS120" s="766">
        <f t="shared" si="174"/>
        <v>1.3982460645606491</v>
      </c>
      <c r="DT120" s="766">
        <f t="shared" si="175"/>
        <v>2.0367960874465618</v>
      </c>
      <c r="DU120" s="766">
        <f t="shared" si="176"/>
        <v>2963.785071317101</v>
      </c>
      <c r="DV120" s="766">
        <f t="shared" si="177"/>
        <v>480.44890464901698</v>
      </c>
      <c r="DW120" s="766">
        <f t="shared" si="178"/>
        <v>0.47877965704490133</v>
      </c>
      <c r="DX120" s="766">
        <f t="shared" si="179"/>
        <v>0.21762711683859148</v>
      </c>
      <c r="DY120" s="766">
        <f t="shared" si="180"/>
        <v>1.1049749691625852</v>
      </c>
      <c r="DZ120" s="766">
        <f t="shared" si="181"/>
        <v>1.7143708991997413</v>
      </c>
      <c r="EB120" s="755"/>
      <c r="EC120" s="755"/>
      <c r="ED120" s="755"/>
      <c r="EE120" s="755"/>
      <c r="EF120" s="755" t="b">
        <f t="shared" si="222"/>
        <v>0</v>
      </c>
      <c r="EG120" s="755">
        <f t="shared" si="182"/>
        <v>50.564587152798488</v>
      </c>
      <c r="EH120" s="755">
        <v>99</v>
      </c>
      <c r="EI120" s="755">
        <f t="shared" si="227"/>
        <v>56.5</v>
      </c>
      <c r="EJ120" s="673">
        <f t="shared" si="183"/>
        <v>5.9354128472015102</v>
      </c>
      <c r="EK120" s="673">
        <f t="shared" si="184"/>
        <v>2.2510196371999172</v>
      </c>
      <c r="EL120" s="755" t="b">
        <f t="shared" si="185"/>
        <v>0</v>
      </c>
      <c r="EM120" s="673"/>
      <c r="EN120" s="755">
        <f t="shared" si="186"/>
        <v>5.9354128472015102</v>
      </c>
      <c r="EO120" s="755">
        <f t="shared" si="187"/>
        <v>2.3063213455995421E-2</v>
      </c>
      <c r="EP120" s="755">
        <f t="shared" si="188"/>
        <v>1.5425588345964203E-3</v>
      </c>
      <c r="EQ120" s="755">
        <f t="shared" si="189"/>
        <v>5.3785887095488754</v>
      </c>
      <c r="ER120" s="755">
        <f t="shared" si="190"/>
        <v>2.6306444745324109</v>
      </c>
      <c r="ES120" s="755">
        <f t="shared" si="191"/>
        <v>5.1321582696315593</v>
      </c>
      <c r="ET120" s="755">
        <f t="shared" si="192"/>
        <v>10.091821523732413</v>
      </c>
      <c r="EU120" s="755">
        <f t="shared" si="193"/>
        <v>2.633422735783149</v>
      </c>
      <c r="EV120" s="755">
        <f t="shared" si="194"/>
        <v>3.7410704330503868</v>
      </c>
      <c r="EW120" s="755">
        <f t="shared" si="195"/>
        <v>28.829016819994276</v>
      </c>
      <c r="EX120" s="755">
        <f t="shared" si="196"/>
        <v>4.6733717931574015</v>
      </c>
      <c r="EY120" s="755">
        <f t="shared" si="223"/>
        <v>49.221241531062439</v>
      </c>
      <c r="EZ120" s="755">
        <f t="shared" si="197"/>
        <v>22.373291605028381</v>
      </c>
      <c r="FA120" s="755">
        <f t="shared" si="198"/>
        <v>5.9354128472015102</v>
      </c>
      <c r="FB120" s="755">
        <f t="shared" si="199"/>
        <v>4.0841716384329212</v>
      </c>
      <c r="FC120" s="755"/>
      <c r="FD120" s="755"/>
      <c r="FE120" s="755"/>
      <c r="FF120" s="755"/>
      <c r="FG120" s="755"/>
      <c r="FH120" s="755"/>
      <c r="FI120" s="755"/>
      <c r="FJ120" s="755"/>
      <c r="FK120" s="755" t="b">
        <f t="shared" si="224"/>
        <v>0</v>
      </c>
      <c r="FL120" s="755">
        <f t="shared" si="200"/>
        <v>1.2143708991997413</v>
      </c>
      <c r="FM120" s="755">
        <v>99</v>
      </c>
      <c r="FN120" s="767">
        <f t="shared" si="225"/>
        <v>0.5</v>
      </c>
      <c r="FO120" s="673">
        <f t="shared" si="201"/>
        <v>1.7143708991997413</v>
      </c>
      <c r="FP120" s="673">
        <f t="shared" si="202"/>
        <v>2.2510196371999172</v>
      </c>
      <c r="FQ120" s="766" t="b">
        <f t="shared" si="203"/>
        <v>1</v>
      </c>
      <c r="FR120" s="673"/>
      <c r="FS120" s="767">
        <f t="shared" si="204"/>
        <v>1.7143708991997413</v>
      </c>
      <c r="FT120" s="766">
        <f t="shared" si="205"/>
        <v>2.3710280570536808</v>
      </c>
      <c r="FU120" s="766">
        <f t="shared" si="206"/>
        <v>0.15858372396641737</v>
      </c>
      <c r="FV120" s="766">
        <f t="shared" si="207"/>
        <v>1.5240790902146102</v>
      </c>
      <c r="FW120" s="766">
        <f t="shared" si="208"/>
        <v>1.1881517258235548</v>
      </c>
      <c r="FX120" s="766">
        <f t="shared" si="209"/>
        <v>1.8140326955601742</v>
      </c>
      <c r="FY120" s="766">
        <f t="shared" si="210"/>
        <v>3.5670946295899708</v>
      </c>
      <c r="FZ120" s="766">
        <f t="shared" si="211"/>
        <v>1.3982460645606491</v>
      </c>
      <c r="GA120" s="766">
        <f t="shared" si="212"/>
        <v>2.0367960874465618</v>
      </c>
      <c r="GB120" s="766">
        <f t="shared" si="213"/>
        <v>2963.785071317101</v>
      </c>
      <c r="GC120" s="766">
        <f t="shared" si="214"/>
        <v>480.44890464901698</v>
      </c>
      <c r="GD120" s="766">
        <f t="shared" si="215"/>
        <v>0.47877965704490133</v>
      </c>
      <c r="GE120" s="766">
        <f t="shared" si="216"/>
        <v>0.21762711683859148</v>
      </c>
      <c r="GF120" s="766">
        <f t="shared" si="217"/>
        <v>1.3959359849765289</v>
      </c>
      <c r="GG120" s="766">
        <f t="shared" si="218"/>
        <v>1.7143708991997413</v>
      </c>
    </row>
    <row r="121" spans="70:189">
      <c r="BY121" s="753" t="b">
        <f t="shared" si="219"/>
        <v>0</v>
      </c>
      <c r="BZ121" s="753">
        <f t="shared" si="148"/>
        <v>51.050115457841386</v>
      </c>
      <c r="CA121" s="751">
        <v>100</v>
      </c>
      <c r="CB121" s="752">
        <f t="shared" si="226"/>
        <v>57</v>
      </c>
      <c r="CC121" s="673">
        <f t="shared" si="149"/>
        <v>5.9498845421586122</v>
      </c>
      <c r="CD121" s="91">
        <f t="shared" si="150"/>
        <v>2</v>
      </c>
      <c r="CE121" s="752" t="b">
        <f t="shared" si="151"/>
        <v>0</v>
      </c>
      <c r="CF121" s="673"/>
      <c r="CG121" s="752">
        <f t="shared" si="152"/>
        <v>5.9498845421586122</v>
      </c>
      <c r="CH121" s="752">
        <f t="shared" si="153"/>
        <v>2.2864933300263592E-2</v>
      </c>
      <c r="CI121" s="752">
        <f t="shared" si="154"/>
        <v>1.5292970744114026E-3</v>
      </c>
      <c r="CJ121" s="755">
        <f t="shared" si="155"/>
        <v>5.3804406350547183</v>
      </c>
      <c r="CK121" s="755">
        <f t="shared" si="156"/>
        <v>2.6310780088554182</v>
      </c>
      <c r="CL121" s="755">
        <f t="shared" si="157"/>
        <v>5.143248533837145</v>
      </c>
      <c r="CM121" s="755">
        <f t="shared" si="158"/>
        <v>10.11362930150031</v>
      </c>
      <c r="CN121" s="755">
        <f t="shared" si="159"/>
        <v>2.6364148340340523</v>
      </c>
      <c r="CO121" s="755">
        <f t="shared" si="160"/>
        <v>3.745220315754993</v>
      </c>
      <c r="CP121" s="755">
        <f t="shared" si="144"/>
        <v>28.581166625329491</v>
      </c>
      <c r="CQ121" s="755">
        <f t="shared" si="161"/>
        <v>4.633193658887083</v>
      </c>
      <c r="CR121" s="755">
        <f t="shared" si="145"/>
        <v>49.648078351792662</v>
      </c>
      <c r="CS121" s="755">
        <f t="shared" si="162"/>
        <v>22.567308341723937</v>
      </c>
      <c r="CT121" s="755">
        <f t="shared" si="146"/>
        <v>5.9498845421586122</v>
      </c>
      <c r="CU121" s="755">
        <f t="shared" si="147"/>
        <v>4.0898026044796181</v>
      </c>
      <c r="CX121" s="755"/>
      <c r="CY121" s="755"/>
      <c r="CZ121" s="755"/>
      <c r="DA121" s="755"/>
      <c r="DB121" s="755"/>
      <c r="DC121" s="755"/>
      <c r="DD121" s="755" t="e">
        <f t="shared" si="220"/>
        <v>#DIV/0!</v>
      </c>
      <c r="DE121" s="755" t="e">
        <f t="shared" si="163"/>
        <v>#DIV/0!</v>
      </c>
      <c r="DF121" s="755">
        <v>100</v>
      </c>
      <c r="DG121" s="755">
        <f t="shared" si="221"/>
        <v>0</v>
      </c>
      <c r="DH121" s="673" t="e">
        <f t="shared" si="164"/>
        <v>#DIV/0!</v>
      </c>
      <c r="DI121" s="673">
        <f t="shared" si="165"/>
        <v>2</v>
      </c>
      <c r="DJ121" s="766" t="b">
        <f t="shared" si="166"/>
        <v>1</v>
      </c>
      <c r="DK121" s="673"/>
      <c r="DL121" s="766" t="e">
        <f t="shared" si="167"/>
        <v>#DIV/0!</v>
      </c>
      <c r="DM121" s="766" t="e">
        <f t="shared" si="168"/>
        <v>#DIV/0!</v>
      </c>
      <c r="DN121" s="766" t="e">
        <f t="shared" si="169"/>
        <v>#DIV/0!</v>
      </c>
      <c r="DO121" s="766" t="e">
        <f t="shared" si="170"/>
        <v>#DIV/0!</v>
      </c>
      <c r="DP121" s="766" t="e">
        <f t="shared" si="171"/>
        <v>#DIV/0!</v>
      </c>
      <c r="DQ121" s="766" t="e">
        <f t="shared" si="172"/>
        <v>#DIV/0!</v>
      </c>
      <c r="DR121" s="766" t="e">
        <f t="shared" si="173"/>
        <v>#DIV/0!</v>
      </c>
      <c r="DS121" s="766" t="e">
        <f t="shared" si="174"/>
        <v>#DIV/0!</v>
      </c>
      <c r="DT121" s="766" t="e">
        <f t="shared" si="175"/>
        <v>#DIV/0!</v>
      </c>
      <c r="DU121" s="766" t="e">
        <f t="shared" si="176"/>
        <v>#DIV/0!</v>
      </c>
      <c r="DV121" s="766" t="e">
        <f t="shared" si="177"/>
        <v>#DIV/0!</v>
      </c>
      <c r="DW121" s="766" t="e">
        <f t="shared" si="178"/>
        <v>#DIV/0!</v>
      </c>
      <c r="DX121" s="766" t="e">
        <f t="shared" si="179"/>
        <v>#DIV/0!</v>
      </c>
      <c r="DY121" s="766" t="e">
        <f t="shared" si="180"/>
        <v>#DIV/0!</v>
      </c>
      <c r="DZ121" s="766" t="e">
        <f t="shared" si="181"/>
        <v>#DIV/0!</v>
      </c>
      <c r="EB121" s="755"/>
      <c r="EC121" s="755"/>
      <c r="ED121" s="755"/>
      <c r="EE121" s="755"/>
      <c r="EF121" s="755" t="b">
        <f t="shared" si="222"/>
        <v>0</v>
      </c>
      <c r="EG121" s="755">
        <f t="shared" si="182"/>
        <v>51.050115457841386</v>
      </c>
      <c r="EH121" s="755">
        <v>100</v>
      </c>
      <c r="EI121" s="755">
        <f t="shared" si="227"/>
        <v>57</v>
      </c>
      <c r="EJ121" s="673">
        <f t="shared" si="183"/>
        <v>5.9498845421586122</v>
      </c>
      <c r="EK121" s="673">
        <f t="shared" si="184"/>
        <v>2.2510196371999172</v>
      </c>
      <c r="EL121" s="755" t="b">
        <f t="shared" si="185"/>
        <v>0</v>
      </c>
      <c r="EM121" s="673"/>
      <c r="EN121" s="755">
        <f t="shared" si="186"/>
        <v>5.9498845421586122</v>
      </c>
      <c r="EO121" s="755">
        <f t="shared" si="187"/>
        <v>2.2864933300263592E-2</v>
      </c>
      <c r="EP121" s="755">
        <f t="shared" si="188"/>
        <v>1.5292970744114026E-3</v>
      </c>
      <c r="EQ121" s="755">
        <f t="shared" si="189"/>
        <v>5.3804406350547183</v>
      </c>
      <c r="ER121" s="755">
        <f t="shared" si="190"/>
        <v>2.6310780088554182</v>
      </c>
      <c r="ES121" s="755">
        <f t="shared" si="191"/>
        <v>5.143248533837145</v>
      </c>
      <c r="ET121" s="755">
        <f t="shared" si="192"/>
        <v>10.11362930150031</v>
      </c>
      <c r="EU121" s="755">
        <f t="shared" si="193"/>
        <v>2.6364148340340523</v>
      </c>
      <c r="EV121" s="755">
        <f t="shared" si="194"/>
        <v>3.745220315754993</v>
      </c>
      <c r="EW121" s="755">
        <f t="shared" si="195"/>
        <v>28.581166625329491</v>
      </c>
      <c r="EX121" s="755">
        <f t="shared" si="196"/>
        <v>4.633193658887083</v>
      </c>
      <c r="EY121" s="755">
        <f t="shared" si="223"/>
        <v>49.648078351792662</v>
      </c>
      <c r="EZ121" s="755">
        <f t="shared" si="197"/>
        <v>22.567308341723937</v>
      </c>
      <c r="FA121" s="755">
        <f t="shared" si="198"/>
        <v>5.9498845421586122</v>
      </c>
      <c r="FB121" s="755">
        <f t="shared" si="199"/>
        <v>4.0898026044796181</v>
      </c>
      <c r="FC121" s="755"/>
      <c r="FD121" s="755"/>
      <c r="FE121" s="755"/>
      <c r="FF121" s="755"/>
      <c r="FG121" s="755"/>
      <c r="FH121" s="755"/>
      <c r="FI121" s="755"/>
      <c r="FJ121" s="755"/>
      <c r="FK121" s="755" t="e">
        <f t="shared" si="224"/>
        <v>#DIV/0!</v>
      </c>
      <c r="FL121" s="755" t="e">
        <f t="shared" si="200"/>
        <v>#DIV/0!</v>
      </c>
      <c r="FM121" s="755">
        <v>100</v>
      </c>
      <c r="FN121" s="767">
        <f t="shared" si="225"/>
        <v>0</v>
      </c>
      <c r="FO121" s="673" t="e">
        <f t="shared" si="201"/>
        <v>#DIV/0!</v>
      </c>
      <c r="FP121" s="673">
        <f t="shared" si="202"/>
        <v>2.2510196371999172</v>
      </c>
      <c r="FQ121" s="766" t="b">
        <f t="shared" si="203"/>
        <v>1</v>
      </c>
      <c r="FR121" s="673"/>
      <c r="FS121" s="767" t="e">
        <f t="shared" si="204"/>
        <v>#DIV/0!</v>
      </c>
      <c r="FT121" s="766" t="e">
        <f t="shared" si="205"/>
        <v>#DIV/0!</v>
      </c>
      <c r="FU121" s="766" t="e">
        <f t="shared" si="206"/>
        <v>#DIV/0!</v>
      </c>
      <c r="FV121" s="766" t="e">
        <f t="shared" si="207"/>
        <v>#DIV/0!</v>
      </c>
      <c r="FW121" s="766" t="e">
        <f t="shared" si="208"/>
        <v>#DIV/0!</v>
      </c>
      <c r="FX121" s="766" t="e">
        <f t="shared" si="209"/>
        <v>#DIV/0!</v>
      </c>
      <c r="FY121" s="766" t="e">
        <f t="shared" si="210"/>
        <v>#DIV/0!</v>
      </c>
      <c r="FZ121" s="766" t="e">
        <f t="shared" si="211"/>
        <v>#DIV/0!</v>
      </c>
      <c r="GA121" s="766" t="e">
        <f t="shared" si="212"/>
        <v>#DIV/0!</v>
      </c>
      <c r="GB121" s="766" t="e">
        <f t="shared" si="213"/>
        <v>#DIV/0!</v>
      </c>
      <c r="GC121" s="766" t="e">
        <f t="shared" si="214"/>
        <v>#DIV/0!</v>
      </c>
      <c r="GD121" s="766" t="e">
        <f t="shared" si="215"/>
        <v>#DIV/0!</v>
      </c>
      <c r="GE121" s="766" t="e">
        <f t="shared" si="216"/>
        <v>#DIV/0!</v>
      </c>
      <c r="GF121" s="766" t="e">
        <f t="shared" si="217"/>
        <v>#DIV/0!</v>
      </c>
      <c r="GG121" s="766" t="e">
        <f t="shared" si="218"/>
        <v>#DIV/0!</v>
      </c>
    </row>
    <row r="125" spans="70:189">
      <c r="BR125" s="775"/>
      <c r="BS125" s="56" t="s">
        <v>508</v>
      </c>
      <c r="BT125" s="56" t="s">
        <v>509</v>
      </c>
      <c r="BU125" s="56" t="s">
        <v>510</v>
      </c>
      <c r="BV125" s="56" t="s">
        <v>511</v>
      </c>
      <c r="BW125" s="56" t="s">
        <v>512</v>
      </c>
      <c r="BX125" s="775"/>
      <c r="BY125" s="775"/>
      <c r="BZ125" s="775"/>
      <c r="CA125" s="775"/>
      <c r="CB125" s="775"/>
      <c r="CC125" s="775"/>
      <c r="CD125" s="775"/>
      <c r="CE125" s="775"/>
      <c r="CF125" s="775"/>
      <c r="CG125" s="775"/>
      <c r="CH125" s="775"/>
      <c r="CI125" s="775"/>
      <c r="CJ125" s="775"/>
      <c r="CK125" s="775"/>
      <c r="CL125" s="775"/>
      <c r="CM125" s="775"/>
      <c r="CN125" s="775"/>
      <c r="CO125" s="775"/>
      <c r="CP125" s="775"/>
      <c r="CQ125" s="775"/>
      <c r="CR125" s="775"/>
      <c r="CS125" s="775"/>
      <c r="CT125" s="775"/>
      <c r="CU125" s="775"/>
      <c r="CV125" s="775"/>
      <c r="CW125" s="775"/>
      <c r="CX125" s="775"/>
      <c r="CY125" s="775"/>
      <c r="CZ125" s="775"/>
      <c r="DA125" s="775"/>
      <c r="DB125" s="775"/>
      <c r="DC125" s="775"/>
      <c r="DD125" s="775"/>
      <c r="DE125" s="775"/>
      <c r="DF125" s="775"/>
      <c r="DG125" s="775"/>
      <c r="DH125" s="775"/>
      <c r="DI125" s="775"/>
      <c r="DJ125" s="775"/>
      <c r="DK125" s="775"/>
      <c r="DL125" s="775"/>
      <c r="DM125" s="775"/>
      <c r="DN125" s="775"/>
      <c r="DO125" s="775"/>
      <c r="DP125" s="775"/>
      <c r="DQ125" s="775"/>
      <c r="DR125" s="775"/>
      <c r="DS125" s="775"/>
      <c r="DT125" s="775"/>
      <c r="DU125" s="775"/>
      <c r="DV125" s="775"/>
      <c r="DW125" s="775"/>
      <c r="DX125" s="775"/>
      <c r="DY125" s="775"/>
      <c r="DZ125" s="775"/>
      <c r="EA125" s="775"/>
      <c r="EB125" s="775"/>
      <c r="EC125" s="775"/>
      <c r="ED125" s="775"/>
      <c r="EE125" s="775"/>
      <c r="EF125" s="775"/>
      <c r="EG125" s="775"/>
      <c r="EH125" s="775"/>
      <c r="EI125" s="775"/>
      <c r="EJ125" s="775"/>
      <c r="EK125" s="775"/>
      <c r="EL125" s="775"/>
      <c r="EM125" s="775"/>
      <c r="EN125" s="775"/>
      <c r="EO125" s="775"/>
      <c r="EP125" s="775"/>
      <c r="EQ125" s="775"/>
      <c r="ER125" s="775"/>
      <c r="ES125" s="775"/>
      <c r="ET125" s="775"/>
      <c r="EU125" s="775"/>
      <c r="EV125" s="775"/>
      <c r="EW125" s="775"/>
      <c r="EX125" s="775"/>
      <c r="EY125" s="775"/>
      <c r="EZ125" s="775"/>
      <c r="FA125" s="775"/>
      <c r="FB125" s="775"/>
      <c r="FC125" s="775"/>
      <c r="FD125" s="775"/>
      <c r="FE125" s="775"/>
      <c r="FF125" s="775"/>
      <c r="FG125" s="775"/>
      <c r="FH125" s="775"/>
      <c r="FI125" s="775"/>
      <c r="FJ125" s="775"/>
      <c r="FK125" s="775"/>
      <c r="FL125" s="775"/>
      <c r="FM125" s="775"/>
      <c r="FN125" s="775"/>
      <c r="FO125" s="775"/>
      <c r="FP125" s="775"/>
      <c r="FQ125" s="775"/>
      <c r="FR125" s="775"/>
      <c r="FS125" s="775"/>
      <c r="FT125" s="775"/>
      <c r="FU125" s="775"/>
      <c r="FV125" s="775"/>
      <c r="FW125" s="775"/>
      <c r="FX125" s="775"/>
      <c r="FY125" s="775"/>
      <c r="FZ125" s="775"/>
      <c r="GA125" s="775"/>
      <c r="GB125" s="775"/>
      <c r="GC125" s="775"/>
      <c r="GD125" s="775"/>
      <c r="GE125" s="775"/>
      <c r="GF125" s="775"/>
      <c r="GG125" s="775"/>
    </row>
    <row r="126" spans="70:189">
      <c r="BR126" s="775"/>
      <c r="BS126" s="36">
        <f>'Quick Calculator'!AF145</f>
        <v>0</v>
      </c>
      <c r="BT126" s="36">
        <f>'Quick Calculator'!AF146</f>
        <v>0</v>
      </c>
      <c r="BU126" s="36">
        <f>'Quick Calculator'!AF147</f>
        <v>0</v>
      </c>
      <c r="BV126" s="36">
        <f>'Quick Calculator'!AF148</f>
        <v>0</v>
      </c>
      <c r="BW126" s="36">
        <f>'Quick Calculator'!AF149</f>
        <v>0</v>
      </c>
      <c r="BX126" s="775"/>
      <c r="BY126" s="775"/>
      <c r="BZ126" s="775"/>
      <c r="CA126" s="775"/>
      <c r="CB126" s="775" t="s">
        <v>1610</v>
      </c>
      <c r="CC126" s="775"/>
      <c r="CD126" s="775"/>
      <c r="CE126" s="775"/>
      <c r="CF126" s="775"/>
      <c r="CG126" s="775"/>
      <c r="CH126" s="775"/>
      <c r="CI126" s="775"/>
      <c r="CJ126" s="775"/>
      <c r="CK126" s="775"/>
      <c r="CL126" s="775"/>
      <c r="CM126" s="775"/>
      <c r="CN126" s="775"/>
      <c r="CO126" s="775"/>
      <c r="CP126" s="775"/>
      <c r="CQ126" s="775"/>
      <c r="CR126" s="775"/>
      <c r="CS126" s="775"/>
      <c r="CT126" s="775"/>
      <c r="CU126" s="775"/>
      <c r="CV126" s="775"/>
      <c r="CW126" s="775"/>
      <c r="CX126" s="775"/>
      <c r="CY126" s="775"/>
      <c r="CZ126" s="775"/>
      <c r="DA126" s="775"/>
      <c r="DB126" s="775"/>
      <c r="DC126" s="775"/>
      <c r="DD126" s="775"/>
      <c r="DE126" s="775"/>
      <c r="DF126" s="775"/>
      <c r="DG126" s="775"/>
      <c r="DH126" s="775"/>
      <c r="DI126" s="775"/>
      <c r="DJ126" s="775"/>
      <c r="DK126" s="775"/>
      <c r="DL126" s="775"/>
      <c r="DM126" s="775"/>
      <c r="DN126" s="775"/>
      <c r="DO126" s="775"/>
      <c r="DP126" s="775"/>
      <c r="DQ126" s="775"/>
      <c r="DR126" s="775"/>
      <c r="DS126" s="775"/>
      <c r="DT126" s="775"/>
      <c r="DU126" s="775"/>
      <c r="DV126" s="775"/>
      <c r="DW126" s="775"/>
      <c r="DX126" s="775"/>
      <c r="DY126" s="775"/>
      <c r="DZ126" s="775"/>
      <c r="EA126" s="775"/>
      <c r="EB126" s="775"/>
      <c r="EC126" s="775"/>
      <c r="ED126" s="775"/>
      <c r="EE126" s="775"/>
      <c r="EF126" s="775"/>
      <c r="EG126" s="775"/>
      <c r="EH126" s="775"/>
      <c r="EI126" s="775"/>
      <c r="EJ126" s="775"/>
      <c r="EK126" s="775"/>
      <c r="EL126" s="775"/>
      <c r="EM126" s="775"/>
      <c r="EN126" s="775"/>
      <c r="EO126" s="775"/>
      <c r="EP126" s="775"/>
      <c r="EQ126" s="775"/>
      <c r="ER126" s="775"/>
      <c r="ES126" s="775"/>
      <c r="ET126" s="775"/>
      <c r="EU126" s="775"/>
      <c r="EV126" s="775"/>
      <c r="EW126" s="775"/>
      <c r="EX126" s="775"/>
      <c r="EY126" s="775"/>
      <c r="EZ126" s="775"/>
      <c r="FA126" s="775"/>
      <c r="FB126" s="775"/>
      <c r="FC126" s="775"/>
      <c r="FD126" s="775"/>
      <c r="FE126" s="775"/>
      <c r="FF126" s="775"/>
      <c r="FG126" s="775"/>
      <c r="FH126" s="775"/>
      <c r="FI126" s="775"/>
      <c r="FJ126" s="775"/>
      <c r="FK126" s="775"/>
      <c r="FL126" s="775"/>
      <c r="FM126" s="775"/>
      <c r="FN126" s="775"/>
      <c r="FO126" s="775"/>
      <c r="FP126" s="775"/>
      <c r="FQ126" s="775"/>
      <c r="FR126" s="775"/>
      <c r="FS126" s="775"/>
      <c r="FT126" s="775"/>
      <c r="FU126" s="775"/>
      <c r="FV126" s="775"/>
      <c r="FW126" s="775"/>
      <c r="FX126" s="775"/>
      <c r="FY126" s="775"/>
      <c r="FZ126" s="775"/>
      <c r="GA126" s="775"/>
      <c r="GB126" s="775"/>
      <c r="GC126" s="775"/>
      <c r="GD126" s="775"/>
      <c r="GE126" s="775"/>
      <c r="GF126" s="775"/>
      <c r="GG126" s="775"/>
    </row>
    <row r="127" spans="70:189">
      <c r="BR127" s="775"/>
      <c r="BS127" s="36">
        <f>'Quick Calculator'!AG145</f>
        <v>0</v>
      </c>
      <c r="BT127" s="36">
        <f>'Quick Calculator'!AG146</f>
        <v>0</v>
      </c>
      <c r="BU127" s="36">
        <f>'Quick Calculator'!AG147</f>
        <v>0</v>
      </c>
      <c r="BV127" s="36">
        <f>'Quick Calculator'!AG148</f>
        <v>0</v>
      </c>
      <c r="BW127" s="36">
        <f>'Quick Calculator'!AG149</f>
        <v>0</v>
      </c>
      <c r="BX127" s="775"/>
      <c r="BY127" s="775"/>
      <c r="BZ127" s="775"/>
      <c r="CA127" s="775"/>
      <c r="CB127" s="775"/>
      <c r="CC127" s="775" t="s">
        <v>1595</v>
      </c>
      <c r="CD127" s="775"/>
      <c r="CE127" s="775"/>
      <c r="CF127" s="775"/>
      <c r="CG127" s="775"/>
      <c r="CH127" s="775"/>
      <c r="CI127" s="775"/>
      <c r="CJ127" s="775"/>
      <c r="CK127" s="775"/>
      <c r="CL127" s="775"/>
      <c r="CM127" s="775"/>
      <c r="CN127" s="775"/>
      <c r="CO127" s="775"/>
      <c r="CP127" s="775"/>
      <c r="CQ127" s="775"/>
      <c r="CR127" s="775"/>
      <c r="CS127" s="775"/>
      <c r="CT127" s="775"/>
      <c r="CU127" s="775"/>
      <c r="CV127" s="775"/>
      <c r="CW127" s="775" t="s">
        <v>1603</v>
      </c>
      <c r="CX127" s="775"/>
      <c r="CY127" s="775"/>
      <c r="CZ127" s="775"/>
      <c r="DA127" s="775"/>
      <c r="DB127" s="775"/>
      <c r="DC127" s="775"/>
      <c r="DD127" s="775"/>
      <c r="DE127" s="775"/>
      <c r="DF127" s="775"/>
      <c r="DG127" s="775"/>
      <c r="DH127" s="775"/>
      <c r="DI127" s="775"/>
      <c r="DJ127" s="775"/>
      <c r="DK127" s="775"/>
      <c r="DL127" s="775"/>
      <c r="DM127" s="775"/>
      <c r="DN127" s="775"/>
      <c r="DO127" s="775"/>
      <c r="DP127" s="775"/>
      <c r="DQ127" s="775"/>
      <c r="DR127" s="775"/>
      <c r="DS127" s="775"/>
      <c r="DT127" s="775"/>
      <c r="DU127" s="775"/>
      <c r="DV127" s="775"/>
      <c r="DW127" s="775"/>
      <c r="DX127" s="775"/>
      <c r="DY127" s="775"/>
      <c r="DZ127" s="775"/>
      <c r="EA127" s="775"/>
      <c r="EB127" s="775"/>
      <c r="EC127" s="775"/>
      <c r="ED127" s="775"/>
      <c r="EE127" s="775"/>
      <c r="EF127" s="775"/>
      <c r="EG127" s="775"/>
      <c r="EH127" s="775"/>
      <c r="EI127" s="775"/>
      <c r="EJ127" s="775"/>
      <c r="EK127" s="775"/>
      <c r="EL127" s="775"/>
      <c r="EM127" s="775"/>
      <c r="EN127" s="775"/>
      <c r="EO127" s="775"/>
      <c r="EP127" s="775"/>
      <c r="EQ127" s="775"/>
      <c r="ER127" s="775"/>
      <c r="ES127" s="775"/>
      <c r="ET127" s="775"/>
      <c r="EU127" s="775"/>
      <c r="EV127" s="775"/>
      <c r="EW127" s="775"/>
      <c r="EX127" s="775"/>
      <c r="EY127" s="775"/>
      <c r="EZ127" s="775"/>
      <c r="FA127" s="775"/>
      <c r="FB127" s="775"/>
      <c r="FC127" s="775"/>
      <c r="FD127" s="775"/>
      <c r="FE127" s="775"/>
      <c r="FF127" s="775"/>
      <c r="FG127" s="775"/>
      <c r="FH127" s="775"/>
      <c r="FI127" s="775"/>
      <c r="FJ127" s="775"/>
      <c r="FK127" s="775"/>
      <c r="FL127" s="775"/>
      <c r="FM127" s="775"/>
      <c r="FN127" s="775"/>
      <c r="FO127" s="775"/>
      <c r="FP127" s="775"/>
      <c r="FQ127" s="775"/>
      <c r="FR127" s="775"/>
      <c r="FS127" s="775"/>
      <c r="FT127" s="775"/>
      <c r="FU127" s="775"/>
      <c r="FV127" s="775"/>
      <c r="FW127" s="775"/>
      <c r="FX127" s="775"/>
      <c r="FY127" s="775"/>
      <c r="FZ127" s="775"/>
      <c r="GA127" s="775"/>
      <c r="GB127" s="775"/>
      <c r="GC127" s="775"/>
      <c r="GD127" s="775"/>
      <c r="GE127" s="775"/>
      <c r="GF127" s="775"/>
      <c r="GG127" s="775"/>
    </row>
    <row r="128" spans="70:189">
      <c r="BR128" s="775"/>
      <c r="BS128" s="36">
        <f>'Quick Calculator'!AH145</f>
        <v>0</v>
      </c>
      <c r="BT128" s="36">
        <f>'Quick Calculator'!AH146</f>
        <v>0</v>
      </c>
      <c r="BU128" s="36">
        <f>'Quick Calculator'!AH147</f>
        <v>0</v>
      </c>
      <c r="BV128" s="36">
        <f>'Quick Calculator'!AH148</f>
        <v>0</v>
      </c>
      <c r="BW128" s="36">
        <f>'Quick Calculator'!AH149</f>
        <v>0</v>
      </c>
      <c r="BX128" s="775"/>
      <c r="BY128" s="775"/>
      <c r="BZ128" s="775"/>
      <c r="CA128" s="775"/>
      <c r="CB128" s="775"/>
      <c r="CC128" s="775"/>
      <c r="CD128" s="775"/>
      <c r="CE128" s="775"/>
      <c r="CF128" s="775"/>
      <c r="CG128" s="775"/>
      <c r="CH128" s="775"/>
      <c r="CI128" s="775"/>
      <c r="CJ128" s="775"/>
      <c r="CK128" s="775"/>
      <c r="CL128" s="775"/>
      <c r="CM128" s="775"/>
      <c r="CN128" s="775"/>
      <c r="CO128" s="775"/>
      <c r="CP128" s="775"/>
      <c r="CQ128" s="775"/>
      <c r="CR128" s="775"/>
      <c r="CS128" s="775"/>
      <c r="CT128" s="775"/>
      <c r="CU128" s="775"/>
      <c r="CV128" s="775"/>
      <c r="CW128" s="775" t="s">
        <v>1604</v>
      </c>
      <c r="CX128" s="775" t="s">
        <v>1605</v>
      </c>
      <c r="CY128" s="775"/>
      <c r="CZ128" s="775"/>
      <c r="DA128" s="775"/>
      <c r="DB128" s="775"/>
      <c r="DC128" s="775"/>
      <c r="DD128" s="775"/>
      <c r="DE128" s="775"/>
      <c r="DF128" s="775"/>
      <c r="DG128" s="775"/>
      <c r="DH128" s="775"/>
      <c r="DI128" s="775"/>
      <c r="DJ128" s="775"/>
      <c r="DK128" s="775"/>
      <c r="DL128" s="775"/>
      <c r="DM128" s="775"/>
      <c r="DN128" s="775"/>
      <c r="DO128" s="775"/>
      <c r="DP128" s="775"/>
      <c r="DQ128" s="775"/>
      <c r="DR128" s="775"/>
      <c r="DS128" s="775"/>
      <c r="DT128" s="775"/>
      <c r="DU128" s="775"/>
      <c r="DV128" s="775"/>
      <c r="DW128" s="775"/>
      <c r="DX128" s="775"/>
      <c r="DY128" s="775"/>
      <c r="DZ128" s="775"/>
      <c r="EA128" s="775"/>
      <c r="EB128" s="775"/>
      <c r="EC128" s="775"/>
      <c r="ED128" s="775"/>
      <c r="EE128" s="775"/>
      <c r="EF128" s="775"/>
      <c r="EG128" s="775"/>
      <c r="EH128" s="775"/>
      <c r="EI128" s="775"/>
      <c r="EJ128" s="775"/>
      <c r="EK128" s="775"/>
      <c r="EL128" s="775"/>
      <c r="EM128" s="775"/>
      <c r="EN128" s="775"/>
      <c r="EO128" s="775"/>
      <c r="EP128" s="775"/>
      <c r="EQ128" s="775"/>
      <c r="ER128" s="775"/>
      <c r="ES128" s="775"/>
      <c r="ET128" s="775"/>
      <c r="EU128" s="775"/>
      <c r="EV128" s="775"/>
      <c r="EW128" s="775"/>
      <c r="EX128" s="775"/>
      <c r="EY128" s="775"/>
      <c r="EZ128" s="775"/>
      <c r="FA128" s="775"/>
      <c r="FB128" s="775"/>
      <c r="FC128" s="775"/>
      <c r="FD128" s="775"/>
      <c r="FE128" s="775"/>
      <c r="FF128" s="775"/>
      <c r="FG128" s="775"/>
      <c r="FH128" s="775"/>
      <c r="FI128" s="775"/>
      <c r="FJ128" s="775"/>
      <c r="FK128" s="775"/>
      <c r="FL128" s="775"/>
      <c r="FM128" s="775"/>
      <c r="FN128" s="775"/>
      <c r="FO128" s="775"/>
      <c r="FP128" s="775"/>
      <c r="FQ128" s="775"/>
      <c r="FR128" s="775"/>
      <c r="FS128" s="775"/>
      <c r="FT128" s="775"/>
      <c r="FU128" s="775"/>
      <c r="FV128" s="775"/>
      <c r="FW128" s="775"/>
      <c r="FX128" s="775"/>
      <c r="FY128" s="775"/>
      <c r="FZ128" s="775"/>
      <c r="GA128" s="775"/>
      <c r="GB128" s="775"/>
      <c r="GC128" s="775"/>
      <c r="GD128" s="775"/>
      <c r="GE128" s="775"/>
      <c r="GF128" s="775"/>
      <c r="GG128" s="775"/>
    </row>
    <row r="129" spans="70:189">
      <c r="BR129" s="775"/>
      <c r="BS129" s="36">
        <f>'Quick Calculator'!AI145</f>
        <v>0</v>
      </c>
      <c r="BT129" s="36">
        <f>'Quick Calculator'!AI146</f>
        <v>0</v>
      </c>
      <c r="BU129" s="36">
        <f>'Quick Calculator'!AI147</f>
        <v>0</v>
      </c>
      <c r="BV129" s="36">
        <f>'Quick Calculator'!AI148</f>
        <v>0</v>
      </c>
      <c r="BW129" s="36">
        <f>'Quick Calculator'!AI149</f>
        <v>0</v>
      </c>
      <c r="BX129" s="775"/>
      <c r="BY129" s="775"/>
      <c r="BZ129" s="775"/>
      <c r="CA129" s="775"/>
      <c r="CB129" s="775">
        <v>8</v>
      </c>
      <c r="CC129" s="775">
        <v>23.7</v>
      </c>
      <c r="CD129" s="775" t="s">
        <v>1596</v>
      </c>
      <c r="CE129" s="775"/>
      <c r="CF129" s="775"/>
      <c r="CG129" s="775"/>
      <c r="CH129" s="775"/>
      <c r="CI129" s="775"/>
      <c r="CJ129" s="775"/>
      <c r="CK129" s="775"/>
      <c r="CL129" s="775"/>
      <c r="CM129" s="775"/>
      <c r="CN129" s="775"/>
      <c r="CO129" s="775"/>
      <c r="CP129" s="775"/>
      <c r="CQ129" s="775"/>
      <c r="CR129" s="775"/>
      <c r="CS129" s="775"/>
      <c r="CT129" s="775"/>
      <c r="CU129" s="775"/>
      <c r="CV129" s="775"/>
      <c r="CW129" s="775" t="s">
        <v>1606</v>
      </c>
      <c r="CX129" s="775"/>
      <c r="CY129" s="775"/>
      <c r="CZ129" s="775"/>
      <c r="DA129" s="775"/>
      <c r="DB129" s="775"/>
      <c r="DC129" s="775"/>
      <c r="DD129" s="775"/>
      <c r="DE129" s="775"/>
      <c r="DF129" s="775"/>
      <c r="DG129" s="775"/>
      <c r="DH129" s="775"/>
      <c r="DI129" s="775"/>
      <c r="DJ129" s="775"/>
      <c r="DK129" s="775"/>
      <c r="DL129" s="775"/>
      <c r="DM129" s="775"/>
      <c r="DN129" s="775"/>
      <c r="DO129" s="775"/>
      <c r="DP129" s="775"/>
      <c r="DQ129" s="775"/>
      <c r="DR129" s="775"/>
      <c r="DS129" s="775"/>
      <c r="DT129" s="775"/>
      <c r="DU129" s="775"/>
      <c r="DV129" s="775"/>
      <c r="DW129" s="775"/>
      <c r="DX129" s="775"/>
      <c r="DY129" s="775"/>
      <c r="DZ129" s="775"/>
      <c r="EA129" s="775"/>
      <c r="EB129" s="775"/>
      <c r="EC129" s="775"/>
      <c r="ED129" s="775"/>
      <c r="EE129" s="775"/>
      <c r="EF129" s="775"/>
      <c r="EG129" s="775"/>
      <c r="EH129" s="775"/>
      <c r="EI129" s="775"/>
      <c r="EJ129" s="775"/>
      <c r="EK129" s="775"/>
      <c r="EL129" s="775"/>
      <c r="EM129" s="775"/>
      <c r="EN129" s="775"/>
      <c r="EO129" s="775"/>
      <c r="EP129" s="775"/>
      <c r="EQ129" s="775"/>
      <c r="ER129" s="775"/>
      <c r="ES129" s="775"/>
      <c r="ET129" s="775"/>
      <c r="EU129" s="775"/>
      <c r="EV129" s="775"/>
      <c r="EW129" s="775"/>
      <c r="EX129" s="775"/>
      <c r="EY129" s="775"/>
      <c r="EZ129" s="775"/>
      <c r="FA129" s="775"/>
      <c r="FB129" s="775"/>
      <c r="FC129" s="775"/>
      <c r="FD129" s="775"/>
      <c r="FE129" s="775"/>
      <c r="FF129" s="775"/>
      <c r="FG129" s="775"/>
      <c r="FH129" s="775"/>
      <c r="FI129" s="775"/>
      <c r="FJ129" s="775"/>
      <c r="FK129" s="775"/>
      <c r="FL129" s="775"/>
      <c r="FM129" s="775"/>
      <c r="FN129" s="775"/>
      <c r="FO129" s="775"/>
      <c r="FP129" s="775"/>
      <c r="FQ129" s="775"/>
      <c r="FR129" s="775"/>
      <c r="FS129" s="775"/>
      <c r="FT129" s="775"/>
      <c r="FU129" s="775"/>
      <c r="FV129" s="775"/>
      <c r="FW129" s="775"/>
      <c r="FX129" s="775"/>
      <c r="FY129" s="775"/>
      <c r="FZ129" s="775"/>
      <c r="GA129" s="775"/>
      <c r="GB129" s="775"/>
      <c r="GC129" s="775"/>
      <c r="GD129" s="775"/>
      <c r="GE129" s="775"/>
      <c r="GF129" s="775"/>
      <c r="GG129" s="775"/>
    </row>
    <row r="130" spans="70:189">
      <c r="BR130" s="775"/>
      <c r="BS130" s="775">
        <f>'Quick Calculator'!I135</f>
        <v>0</v>
      </c>
      <c r="BT130" s="775">
        <f>'Quick Calculator'!I136</f>
        <v>0</v>
      </c>
      <c r="BU130" s="775">
        <f>'Quick Calculator'!I137</f>
        <v>0</v>
      </c>
      <c r="BV130" s="775">
        <f>'Quick Calculator'!I138</f>
        <v>0</v>
      </c>
      <c r="BW130" s="775">
        <f>'Quick Calculator'!I139</f>
        <v>0</v>
      </c>
      <c r="BX130" s="775"/>
      <c r="BY130" s="775"/>
      <c r="BZ130" s="775"/>
      <c r="CA130" s="775">
        <v>1</v>
      </c>
      <c r="CB130" s="775" t="s">
        <v>1597</v>
      </c>
      <c r="CC130" s="775" t="s">
        <v>1598</v>
      </c>
      <c r="CD130" s="775"/>
      <c r="CE130" s="775" t="s">
        <v>110</v>
      </c>
      <c r="CF130" s="775"/>
      <c r="CG130" s="775"/>
      <c r="CH130" s="775"/>
      <c r="CI130" s="775"/>
      <c r="CJ130" s="775"/>
      <c r="CK130" s="775"/>
      <c r="CL130" s="775"/>
      <c r="CM130" s="775"/>
      <c r="CN130" s="775"/>
      <c r="CO130" s="775"/>
      <c r="CP130" s="775"/>
      <c r="CQ130" s="775"/>
      <c r="CR130" s="775"/>
      <c r="CS130" s="775"/>
      <c r="CT130" s="775"/>
      <c r="CU130" s="775"/>
      <c r="CV130" s="775"/>
      <c r="CW130" s="775" t="s">
        <v>1607</v>
      </c>
      <c r="CX130" s="775"/>
      <c r="CY130" s="775"/>
      <c r="CZ130" s="775"/>
      <c r="DA130" s="775"/>
      <c r="DB130" s="775"/>
      <c r="DC130" s="775"/>
      <c r="DD130" s="775" t="s">
        <v>1661</v>
      </c>
      <c r="DE130" s="775"/>
      <c r="DF130" s="775"/>
      <c r="DG130" s="775"/>
      <c r="DH130" s="775"/>
      <c r="DI130" s="775"/>
      <c r="DJ130" s="775"/>
      <c r="DK130" s="775"/>
      <c r="DL130" s="775"/>
      <c r="DM130" s="775"/>
      <c r="DN130" s="775"/>
      <c r="DO130" s="775"/>
      <c r="DP130" s="775"/>
      <c r="DQ130" s="775"/>
      <c r="DR130" s="775"/>
      <c r="DS130" s="775"/>
      <c r="DT130" s="775"/>
      <c r="DU130" s="775"/>
      <c r="DV130" s="775"/>
      <c r="DW130" s="775"/>
      <c r="DX130" s="775"/>
      <c r="DY130" s="775"/>
      <c r="DZ130" s="775"/>
      <c r="EA130" s="775"/>
      <c r="EB130" s="775"/>
      <c r="EC130" s="775"/>
      <c r="ED130" s="775"/>
      <c r="EE130" s="775"/>
      <c r="EF130" s="775"/>
      <c r="EG130" s="775"/>
      <c r="EH130" s="775"/>
      <c r="EI130" s="775"/>
      <c r="EJ130" s="775"/>
      <c r="EK130" s="775"/>
      <c r="EL130" s="775"/>
      <c r="EM130" s="775"/>
      <c r="EN130" s="775"/>
      <c r="EO130" s="775"/>
      <c r="EP130" s="775"/>
      <c r="EQ130" s="775"/>
      <c r="ER130" s="775"/>
      <c r="ES130" s="775"/>
      <c r="ET130" s="775"/>
      <c r="EU130" s="775"/>
      <c r="EV130" s="775"/>
      <c r="EW130" s="775"/>
      <c r="EX130" s="775"/>
      <c r="EY130" s="775"/>
      <c r="EZ130" s="775"/>
      <c r="FA130" s="775"/>
      <c r="FB130" s="775"/>
      <c r="FC130" s="775"/>
      <c r="FD130" s="775"/>
      <c r="FE130" s="775"/>
      <c r="FF130" s="775"/>
      <c r="FG130" s="775"/>
      <c r="FH130" s="775"/>
      <c r="FI130" s="775"/>
      <c r="FJ130" s="775"/>
      <c r="FK130" s="775"/>
      <c r="FL130" s="775"/>
      <c r="FM130" s="775"/>
      <c r="FN130" s="775"/>
      <c r="FO130" s="775"/>
      <c r="FP130" s="775"/>
      <c r="FQ130" s="775"/>
      <c r="FR130" s="775"/>
      <c r="FS130" s="775"/>
      <c r="FT130" s="775"/>
      <c r="FU130" s="775"/>
      <c r="FV130" s="775"/>
      <c r="FW130" s="775"/>
      <c r="FX130" s="775"/>
      <c r="FY130" s="775"/>
      <c r="FZ130" s="775"/>
      <c r="GA130" s="775"/>
      <c r="GB130" s="775"/>
      <c r="GC130" s="775"/>
      <c r="GD130" s="775"/>
      <c r="GE130" s="775"/>
      <c r="GF130" s="775"/>
      <c r="GG130" s="775"/>
    </row>
    <row r="131" spans="70:189">
      <c r="BR131" s="775"/>
      <c r="BS131" s="775">
        <f>'Quick Calculator'!J135</f>
        <v>0</v>
      </c>
      <c r="BT131" s="775">
        <f>'Quick Calculator'!J136</f>
        <v>0</v>
      </c>
      <c r="BU131" s="775">
        <f>'Quick Calculator'!J137</f>
        <v>0</v>
      </c>
      <c r="BV131" s="775">
        <f>'Quick Calculator'!J138</f>
        <v>0</v>
      </c>
      <c r="BW131" s="775">
        <f>'Quick Calculator'!J139</f>
        <v>0</v>
      </c>
      <c r="BX131" s="775"/>
      <c r="BY131" s="775"/>
      <c r="BZ131" s="775"/>
      <c r="CA131" s="775">
        <v>2</v>
      </c>
      <c r="CB131" s="775" t="s">
        <v>1599</v>
      </c>
      <c r="CC131" s="775"/>
      <c r="CD131" s="775" t="s">
        <v>1600</v>
      </c>
      <c r="CE131" s="775" t="s">
        <v>1601</v>
      </c>
      <c r="CF131" s="775"/>
      <c r="CG131" s="775"/>
      <c r="CH131" s="775"/>
      <c r="CI131" s="775"/>
      <c r="CJ131" s="775"/>
      <c r="CK131" s="775"/>
      <c r="CL131" s="775"/>
      <c r="CM131" s="775"/>
      <c r="CN131" s="775"/>
      <c r="CO131" s="775"/>
      <c r="CP131" s="775"/>
      <c r="CQ131" s="775"/>
      <c r="CR131" s="775"/>
      <c r="CS131" s="775"/>
      <c r="CT131" s="775"/>
      <c r="CU131" s="775"/>
      <c r="CV131" s="775"/>
      <c r="CW131" s="775" t="s">
        <v>1608</v>
      </c>
      <c r="CX131" s="775"/>
      <c r="CY131" s="775" t="s">
        <v>1609</v>
      </c>
      <c r="CZ131" s="775"/>
      <c r="DA131" s="775"/>
      <c r="DB131" s="775"/>
      <c r="DC131" s="775"/>
      <c r="DD131" s="775" t="s">
        <v>1649</v>
      </c>
      <c r="DE131" s="775"/>
      <c r="DF131" s="775"/>
      <c r="DG131" s="775"/>
      <c r="DH131" s="775">
        <f>AO11</f>
        <v>1</v>
      </c>
      <c r="DI131" s="775"/>
      <c r="DJ131" s="775"/>
      <c r="DK131" s="775"/>
      <c r="DL131" s="775"/>
      <c r="DM131" s="775"/>
      <c r="DN131" s="775"/>
      <c r="DO131" s="775"/>
      <c r="DP131" s="775"/>
      <c r="DQ131" s="775"/>
      <c r="DR131" s="775"/>
      <c r="DS131" s="775"/>
      <c r="DT131" s="775"/>
      <c r="DU131" s="775"/>
      <c r="DV131" s="775"/>
      <c r="DW131" s="775"/>
      <c r="DX131" s="775"/>
      <c r="DY131" s="775"/>
      <c r="DZ131" s="775"/>
      <c r="EA131" s="775"/>
      <c r="EB131" s="775"/>
      <c r="EC131" s="775"/>
      <c r="ED131" s="775"/>
      <c r="EE131" s="775"/>
      <c r="EF131" s="775"/>
      <c r="EG131" s="775"/>
      <c r="EH131" s="775"/>
      <c r="EI131" s="775"/>
      <c r="EJ131" s="775"/>
      <c r="EK131" s="775"/>
      <c r="EL131" s="775"/>
      <c r="EM131" s="775"/>
      <c r="EN131" s="775"/>
      <c r="EO131" s="775"/>
      <c r="EP131" s="775"/>
      <c r="EQ131" s="775"/>
      <c r="ER131" s="775"/>
      <c r="ES131" s="775"/>
      <c r="ET131" s="775"/>
      <c r="EU131" s="775"/>
      <c r="EV131" s="775"/>
      <c r="EW131" s="775"/>
      <c r="EX131" s="775"/>
      <c r="EY131" s="775"/>
      <c r="EZ131" s="775"/>
      <c r="FA131" s="775"/>
      <c r="FB131" s="775"/>
      <c r="FC131" s="775"/>
      <c r="FD131" s="775"/>
      <c r="FE131" s="775"/>
      <c r="FF131" s="775"/>
      <c r="FG131" s="775"/>
      <c r="FH131" s="775"/>
      <c r="FI131" s="775"/>
      <c r="FJ131" s="775"/>
      <c r="FK131" s="775"/>
      <c r="FL131" s="775"/>
      <c r="FM131" s="775"/>
      <c r="FN131" s="775"/>
      <c r="FO131" s="775"/>
      <c r="FP131" s="775"/>
      <c r="FQ131" s="775"/>
      <c r="FR131" s="775"/>
      <c r="FS131" s="775"/>
      <c r="FT131" s="775"/>
      <c r="FU131" s="775"/>
      <c r="FV131" s="775"/>
      <c r="FW131" s="775"/>
      <c r="FX131" s="775"/>
      <c r="FY131" s="775"/>
      <c r="FZ131" s="775"/>
      <c r="GA131" s="775"/>
      <c r="GB131" s="775"/>
      <c r="GC131" s="775"/>
      <c r="GD131" s="775"/>
      <c r="GE131" s="775"/>
      <c r="GF131" s="775"/>
      <c r="GG131" s="775"/>
    </row>
    <row r="132" spans="70:189">
      <c r="BR132" s="775"/>
      <c r="BS132" s="36">
        <f>'Quick Calculator'!AG145</f>
        <v>0</v>
      </c>
      <c r="BT132" s="36">
        <f>'Quick Calculator'!AG146</f>
        <v>0</v>
      </c>
      <c r="BU132" s="36">
        <f>'Quick Calculator'!AG147</f>
        <v>0</v>
      </c>
      <c r="BV132" s="36">
        <f>'Quick Calculator'!AG148</f>
        <v>0</v>
      </c>
      <c r="BW132" s="36">
        <f>'Quick Calculator'!AG149</f>
        <v>0</v>
      </c>
      <c r="BX132" s="775"/>
      <c r="BY132" s="775"/>
      <c r="BZ132" s="775"/>
      <c r="CA132" s="775">
        <v>3</v>
      </c>
      <c r="CB132" s="775"/>
      <c r="CC132" s="775"/>
      <c r="CD132" s="775"/>
      <c r="CE132" s="775"/>
      <c r="CF132" s="775"/>
      <c r="CG132" s="775"/>
      <c r="CH132" s="775"/>
      <c r="CI132" s="775"/>
      <c r="CJ132" s="775"/>
      <c r="CK132" s="775"/>
      <c r="CL132" s="775"/>
      <c r="CM132" s="775"/>
      <c r="CN132" s="775"/>
      <c r="CO132" s="775"/>
      <c r="CP132" s="775"/>
      <c r="CQ132" s="775"/>
      <c r="CR132" s="775"/>
      <c r="CS132" s="775"/>
      <c r="CT132" s="775"/>
      <c r="CU132" s="775"/>
      <c r="CV132" s="775"/>
      <c r="CW132" s="775"/>
      <c r="CX132" s="775"/>
      <c r="CY132" s="775"/>
      <c r="CZ132" s="775"/>
      <c r="DA132" s="775"/>
      <c r="DB132" s="775"/>
      <c r="DC132" s="775"/>
      <c r="DD132" s="775"/>
      <c r="DE132" s="775"/>
      <c r="DF132" s="775"/>
      <c r="DG132" s="775" t="s">
        <v>1650</v>
      </c>
      <c r="DH132" s="775"/>
      <c r="DI132" s="775"/>
      <c r="DJ132" s="775" t="s">
        <v>1645</v>
      </c>
      <c r="DK132" s="775"/>
      <c r="DL132" s="775"/>
      <c r="DM132" s="775" t="s">
        <v>1650</v>
      </c>
      <c r="DN132" s="775"/>
      <c r="DO132" s="775"/>
      <c r="DP132" s="775"/>
      <c r="DQ132" s="775"/>
      <c r="DR132" s="775"/>
      <c r="DS132" s="775"/>
      <c r="DT132" s="775"/>
      <c r="DU132" s="775"/>
      <c r="DV132" s="775"/>
      <c r="DW132" s="775"/>
      <c r="DX132" s="775"/>
      <c r="DY132" s="775"/>
      <c r="DZ132" s="775"/>
      <c r="EA132" s="775"/>
      <c r="EB132" s="775"/>
      <c r="EC132" s="775"/>
      <c r="ED132" s="775"/>
      <c r="EE132" s="775"/>
      <c r="EF132" s="775"/>
      <c r="EG132" s="775"/>
      <c r="EH132" s="775"/>
      <c r="EI132" s="775"/>
      <c r="EJ132" s="775"/>
      <c r="EK132" s="775"/>
      <c r="EL132" s="775"/>
      <c r="EM132" s="775"/>
      <c r="EN132" s="775"/>
      <c r="EO132" s="775"/>
      <c r="EP132" s="775"/>
      <c r="EQ132" s="775"/>
      <c r="ER132" s="775"/>
      <c r="ES132" s="775"/>
      <c r="ET132" s="775"/>
      <c r="EU132" s="775"/>
      <c r="EV132" s="775"/>
      <c r="EW132" s="775"/>
      <c r="EX132" s="775"/>
      <c r="EY132" s="775"/>
      <c r="EZ132" s="775"/>
      <c r="FA132" s="775"/>
      <c r="FB132" s="775"/>
      <c r="FC132" s="775"/>
      <c r="FD132" s="775"/>
      <c r="FE132" s="775"/>
      <c r="FF132" s="775"/>
      <c r="FG132" s="775"/>
      <c r="FH132" s="775"/>
      <c r="FI132" s="775"/>
      <c r="FJ132" s="775"/>
      <c r="FK132" s="775"/>
      <c r="FL132" s="775"/>
      <c r="FM132" s="775"/>
      <c r="FN132" s="775"/>
      <c r="FO132" s="775"/>
      <c r="FP132" s="775"/>
      <c r="FQ132" s="775"/>
      <c r="FR132" s="775"/>
      <c r="FS132" s="775"/>
      <c r="FT132" s="775"/>
      <c r="FU132" s="775"/>
      <c r="FV132" s="775"/>
      <c r="FW132" s="775"/>
      <c r="FX132" s="775"/>
      <c r="FY132" s="775"/>
      <c r="FZ132" s="775"/>
      <c r="GA132" s="775"/>
      <c r="GB132" s="775"/>
      <c r="GC132" s="775"/>
      <c r="GD132" s="775"/>
      <c r="GE132" s="775"/>
      <c r="GF132" s="775"/>
      <c r="GG132" s="775"/>
    </row>
    <row r="133" spans="70:189">
      <c r="BR133" s="775"/>
      <c r="BS133" s="775"/>
      <c r="BT133" s="775"/>
      <c r="BU133" s="775"/>
      <c r="BV133" s="775"/>
      <c r="BW133" s="775"/>
      <c r="BX133" s="775"/>
      <c r="BY133" s="775"/>
      <c r="BZ133" s="775"/>
      <c r="CA133" s="775">
        <v>4</v>
      </c>
      <c r="CB133" s="775"/>
      <c r="CC133" s="775"/>
      <c r="CD133" s="775"/>
      <c r="CE133" s="775"/>
      <c r="CF133" s="775"/>
      <c r="CG133" s="775"/>
      <c r="CH133" s="775"/>
      <c r="CI133" s="775"/>
      <c r="CJ133" s="775"/>
      <c r="CK133" s="775"/>
      <c r="CL133" s="775"/>
      <c r="CM133" s="775"/>
      <c r="CN133" s="775"/>
      <c r="CO133" s="775"/>
      <c r="CP133" s="775"/>
      <c r="CQ133" s="775"/>
      <c r="CR133" s="775"/>
      <c r="CS133" s="775"/>
      <c r="CT133" s="775"/>
      <c r="CU133" s="775"/>
      <c r="CV133" s="775"/>
      <c r="CW133" s="775"/>
      <c r="CX133" s="775"/>
      <c r="CY133" s="775"/>
      <c r="CZ133" s="775"/>
      <c r="DA133" s="775"/>
      <c r="DB133" s="775"/>
      <c r="DC133" s="775"/>
      <c r="DD133" s="775" t="s">
        <v>10</v>
      </c>
      <c r="DE133" s="673">
        <f>V50</f>
        <v>5</v>
      </c>
      <c r="DF133" s="775" t="s">
        <v>59</v>
      </c>
      <c r="DG133" s="91">
        <f>IF(DH131=1,AY$3,IF(DH131=2,AY$4,IF(DH131=3,AY$5,IF(DH131=4,AY$6,IF(DH131=5,AY$7,"")))))</f>
        <v>19</v>
      </c>
      <c r="DH133" s="775" t="s">
        <v>1644</v>
      </c>
      <c r="DI133" s="775">
        <v>50</v>
      </c>
      <c r="DJ133" s="775">
        <f>IF(DI133&gt;DE133,DI133,DE133)</f>
        <v>50</v>
      </c>
      <c r="DK133" s="775"/>
      <c r="DL133" s="775"/>
      <c r="DM133" s="775" t="s">
        <v>470</v>
      </c>
      <c r="DN133" s="775">
        <f>IF(DH131=1,AX$3,IF(DH131=2,AX$4,IF(DH131=3,AX$5,IF(DH131=4,AX$6,IF(DH131=5,AX$7,"")))))</f>
        <v>0.41354700854700854</v>
      </c>
      <c r="DO133" s="775"/>
      <c r="DP133" s="775" t="s">
        <v>605</v>
      </c>
      <c r="DQ133" s="775">
        <f>IF(DH131=1,BA$3,IF(DH131=2,BA$4,IF(DH131=3,BA$5,IF(DH131=4,BA$6,IF(DH131=5,BA$7,"")))))</f>
        <v>24.403675819467587</v>
      </c>
      <c r="DR133" s="775"/>
      <c r="DS133" s="775"/>
      <c r="DT133" s="775"/>
      <c r="DU133" s="775"/>
      <c r="DV133" s="775"/>
      <c r="DW133" s="775"/>
      <c r="DX133" s="775"/>
      <c r="DY133" s="775"/>
      <c r="DZ133" s="775"/>
      <c r="EA133" s="775"/>
      <c r="EB133" s="775"/>
      <c r="EC133" s="775"/>
      <c r="ED133" s="775"/>
      <c r="EE133" s="775"/>
      <c r="EF133" s="775"/>
      <c r="EG133" s="775"/>
      <c r="EH133" s="775"/>
      <c r="EI133" s="775"/>
      <c r="EJ133" s="775"/>
      <c r="EK133" s="775"/>
      <c r="EL133" s="775"/>
      <c r="EM133" s="775"/>
      <c r="EN133" s="775"/>
      <c r="EO133" s="775"/>
      <c r="EP133" s="775"/>
      <c r="EQ133" s="775"/>
      <c r="ER133" s="775"/>
      <c r="ES133" s="775"/>
      <c r="ET133" s="775"/>
      <c r="EU133" s="775"/>
      <c r="EV133" s="775"/>
      <c r="EW133" s="775"/>
      <c r="EX133" s="775"/>
      <c r="EY133" s="775"/>
      <c r="EZ133" s="775"/>
      <c r="FA133" s="775"/>
      <c r="FB133" s="775"/>
      <c r="FC133" s="775"/>
      <c r="FD133" s="775"/>
      <c r="FE133" s="775"/>
      <c r="FF133" s="775"/>
      <c r="FG133" s="775"/>
      <c r="FH133" s="775"/>
      <c r="FI133" s="775"/>
      <c r="FJ133" s="775"/>
      <c r="FK133" s="775"/>
      <c r="FL133" s="775"/>
      <c r="FM133" s="775"/>
      <c r="FN133" s="775"/>
      <c r="FO133" s="775"/>
      <c r="FP133" s="775"/>
      <c r="FQ133" s="775"/>
      <c r="FR133" s="775"/>
      <c r="FS133" s="775"/>
      <c r="FT133" s="775"/>
      <c r="FU133" s="775"/>
      <c r="FV133" s="775"/>
      <c r="FW133" s="775"/>
      <c r="FX133" s="775"/>
      <c r="FY133" s="775"/>
      <c r="FZ133" s="775"/>
      <c r="GA133" s="775"/>
      <c r="GB133" s="775"/>
      <c r="GC133" s="775"/>
      <c r="GD133" s="775"/>
      <c r="GE133" s="775"/>
      <c r="GF133" s="775"/>
      <c r="GG133" s="775"/>
    </row>
    <row r="134" spans="70:189">
      <c r="BR134" s="775"/>
      <c r="BS134" s="775"/>
      <c r="BT134" s="775"/>
      <c r="BU134" s="775"/>
      <c r="BV134" s="775"/>
      <c r="BW134" s="775"/>
      <c r="BX134" s="775"/>
      <c r="BY134" s="775"/>
      <c r="BZ134" s="775"/>
      <c r="CA134" s="775"/>
      <c r="CB134" s="775"/>
      <c r="CC134" s="775"/>
      <c r="CD134" s="775"/>
      <c r="CE134" s="775"/>
      <c r="CF134" s="775"/>
      <c r="CG134" s="775"/>
      <c r="CH134" s="775"/>
      <c r="CI134" s="775"/>
      <c r="CJ134" s="775"/>
      <c r="CK134" s="775"/>
      <c r="CL134" s="775"/>
      <c r="CM134" s="775"/>
      <c r="CN134" s="775"/>
      <c r="CO134" s="775"/>
      <c r="CP134" s="775"/>
      <c r="CQ134" s="775"/>
      <c r="CR134" s="775"/>
      <c r="CS134" s="775"/>
      <c r="CT134" s="775"/>
      <c r="CU134" s="775"/>
      <c r="CV134" s="775"/>
      <c r="CW134" s="775"/>
      <c r="CX134" s="775"/>
      <c r="CY134" s="775"/>
      <c r="CZ134" s="775"/>
      <c r="DA134" s="775"/>
      <c r="DB134" s="775"/>
      <c r="DC134" s="775"/>
      <c r="DD134" s="775" t="s">
        <v>1643</v>
      </c>
      <c r="DE134" s="775"/>
      <c r="DF134" s="775"/>
      <c r="DG134" s="775"/>
      <c r="DH134" s="775"/>
      <c r="DI134" s="775"/>
      <c r="DJ134" s="775"/>
      <c r="DK134" s="775"/>
      <c r="DL134" s="775"/>
      <c r="DM134" s="775"/>
      <c r="DN134" s="775"/>
      <c r="DO134" s="775"/>
      <c r="DP134" s="775"/>
      <c r="DQ134" s="775"/>
      <c r="DR134" s="775"/>
      <c r="DS134" s="775"/>
      <c r="DT134" s="775"/>
      <c r="DU134" s="775"/>
      <c r="DV134" s="775"/>
      <c r="DW134" s="775"/>
      <c r="DX134" s="775"/>
      <c r="DY134" s="775"/>
      <c r="DZ134" s="775"/>
      <c r="EA134" s="775"/>
      <c r="EB134" s="775"/>
      <c r="EC134" s="775"/>
      <c r="ED134" s="775"/>
      <c r="EE134" s="775"/>
      <c r="EF134" s="775"/>
      <c r="EG134" s="775"/>
      <c r="EH134" s="775"/>
      <c r="EI134" s="775"/>
      <c r="EJ134" s="775"/>
      <c r="EK134" s="775"/>
      <c r="EL134" s="775"/>
      <c r="EM134" s="775"/>
      <c r="EN134" s="775"/>
      <c r="EO134" s="775"/>
      <c r="EP134" s="775"/>
      <c r="EQ134" s="775"/>
      <c r="ER134" s="775"/>
      <c r="ES134" s="775"/>
      <c r="ET134" s="775"/>
      <c r="EU134" s="775"/>
      <c r="EV134" s="775"/>
      <c r="EW134" s="775"/>
      <c r="EX134" s="775"/>
      <c r="EY134" s="775"/>
      <c r="EZ134" s="775"/>
      <c r="FA134" s="775"/>
      <c r="FB134" s="775"/>
      <c r="FC134" s="775"/>
      <c r="FD134" s="775"/>
      <c r="FE134" s="775"/>
      <c r="FF134" s="775"/>
      <c r="FG134" s="775"/>
      <c r="FH134" s="775"/>
      <c r="FI134" s="775"/>
      <c r="FJ134" s="775"/>
      <c r="FK134" s="775"/>
      <c r="FL134" s="775"/>
      <c r="FM134" s="775"/>
      <c r="FN134" s="775"/>
      <c r="FO134" s="775"/>
      <c r="FP134" s="775"/>
      <c r="FQ134" s="775"/>
      <c r="FR134" s="775"/>
      <c r="FS134" s="775"/>
      <c r="FT134" s="775"/>
      <c r="FU134" s="775"/>
      <c r="FV134" s="775"/>
      <c r="FW134" s="775"/>
      <c r="FX134" s="775"/>
      <c r="FY134" s="775"/>
      <c r="FZ134" s="775"/>
      <c r="GA134" s="775"/>
      <c r="GB134" s="775"/>
      <c r="GC134" s="775"/>
      <c r="GD134" s="775"/>
      <c r="GE134" s="775"/>
      <c r="GF134" s="775"/>
      <c r="GG134" s="775"/>
    </row>
    <row r="135" spans="70:189">
      <c r="BR135" s="775"/>
      <c r="BS135" s="775"/>
      <c r="BT135" s="775"/>
      <c r="BU135" s="775"/>
      <c r="BV135" s="775"/>
      <c r="BW135" s="775"/>
      <c r="BX135" s="775"/>
      <c r="BY135" s="775" t="s">
        <v>1646</v>
      </c>
      <c r="BZ135" s="775"/>
      <c r="CA135" s="775"/>
      <c r="CB135" s="775"/>
      <c r="CC135" s="775"/>
      <c r="CD135" s="775"/>
      <c r="CE135" s="775"/>
      <c r="CF135" s="775"/>
      <c r="CG135" s="775"/>
      <c r="CH135" s="775"/>
      <c r="CI135" s="775"/>
      <c r="CJ135" s="775"/>
      <c r="CK135" s="775"/>
      <c r="CL135" s="775"/>
      <c r="CM135" s="775"/>
      <c r="CN135" s="775"/>
      <c r="CO135" s="775"/>
      <c r="CP135" s="775"/>
      <c r="CQ135" s="775"/>
      <c r="CR135" s="775"/>
      <c r="CS135" s="775"/>
      <c r="CT135" s="775"/>
      <c r="CU135" s="775"/>
      <c r="CV135" s="775"/>
      <c r="CW135" s="775"/>
      <c r="CX135" s="775"/>
      <c r="CY135" s="775"/>
      <c r="CZ135" s="775"/>
      <c r="DA135" s="775"/>
      <c r="DB135" s="775"/>
      <c r="DC135" s="775"/>
      <c r="DD135" s="775">
        <v>1</v>
      </c>
      <c r="DE135" s="775">
        <v>2</v>
      </c>
      <c r="DF135" s="775">
        <v>3</v>
      </c>
      <c r="DG135" s="775">
        <v>4</v>
      </c>
      <c r="DH135" s="775">
        <v>5</v>
      </c>
      <c r="DI135" s="775">
        <v>6</v>
      </c>
      <c r="DJ135" s="775">
        <v>7</v>
      </c>
      <c r="DK135" s="775">
        <v>8</v>
      </c>
      <c r="DL135" s="775">
        <v>9</v>
      </c>
      <c r="DM135" s="775">
        <v>10</v>
      </c>
      <c r="DN135" s="775">
        <v>11</v>
      </c>
      <c r="DO135" s="775">
        <v>12</v>
      </c>
      <c r="DP135" s="775">
        <v>13</v>
      </c>
      <c r="DQ135" s="775">
        <v>14</v>
      </c>
      <c r="DR135" s="775">
        <v>15</v>
      </c>
      <c r="DS135" s="775">
        <v>16</v>
      </c>
      <c r="DT135" s="775">
        <v>17</v>
      </c>
      <c r="DU135" s="775">
        <v>18</v>
      </c>
      <c r="DV135" s="775">
        <v>19</v>
      </c>
      <c r="DW135" s="775">
        <v>20</v>
      </c>
      <c r="DX135" s="775">
        <v>21</v>
      </c>
      <c r="DY135" s="775">
        <v>22</v>
      </c>
      <c r="DZ135" s="775">
        <v>23</v>
      </c>
      <c r="EA135" s="775"/>
      <c r="EB135" s="775"/>
      <c r="EC135" s="775"/>
      <c r="ED135" s="775"/>
      <c r="EE135" s="775"/>
      <c r="EF135" s="775" t="s">
        <v>1646</v>
      </c>
      <c r="EG135" s="775"/>
      <c r="EH135" s="775"/>
      <c r="EI135" s="775"/>
      <c r="EJ135" s="775"/>
      <c r="EK135" s="775"/>
      <c r="EL135" s="775"/>
      <c r="EM135" s="775"/>
      <c r="EN135" s="775"/>
      <c r="EO135" s="775"/>
      <c r="EP135" s="775"/>
      <c r="EQ135" s="775"/>
      <c r="ER135" s="775"/>
      <c r="ES135" s="775"/>
      <c r="ET135" s="775"/>
      <c r="EU135" s="775"/>
      <c r="EV135" s="775"/>
      <c r="EW135" s="775"/>
      <c r="EX135" s="775"/>
      <c r="EY135" s="775"/>
      <c r="EZ135" s="775"/>
      <c r="FA135" s="775"/>
      <c r="FB135" s="775"/>
      <c r="FC135" s="775"/>
      <c r="FD135" s="775"/>
      <c r="FE135" s="775"/>
      <c r="FF135" s="775"/>
      <c r="FG135" s="775"/>
      <c r="FH135" s="775"/>
      <c r="FI135" s="775"/>
      <c r="FJ135" s="775"/>
      <c r="FK135" s="775">
        <v>1</v>
      </c>
      <c r="FL135" s="775">
        <v>2</v>
      </c>
      <c r="FM135" s="775">
        <v>3</v>
      </c>
      <c r="FN135" s="775">
        <v>4</v>
      </c>
      <c r="FO135" s="775">
        <v>5</v>
      </c>
      <c r="FP135" s="775">
        <v>6</v>
      </c>
      <c r="FQ135" s="775">
        <v>7</v>
      </c>
      <c r="FR135" s="775">
        <v>8</v>
      </c>
      <c r="FS135" s="775">
        <v>9</v>
      </c>
      <c r="FT135" s="775">
        <v>10</v>
      </c>
      <c r="FU135" s="775">
        <v>11</v>
      </c>
      <c r="FV135" s="775">
        <v>12</v>
      </c>
      <c r="FW135" s="775">
        <v>13</v>
      </c>
      <c r="FX135" s="775">
        <v>14</v>
      </c>
      <c r="FY135" s="775">
        <v>15</v>
      </c>
      <c r="FZ135" s="775">
        <v>16</v>
      </c>
      <c r="GA135" s="775">
        <v>17</v>
      </c>
      <c r="GB135" s="775">
        <v>18</v>
      </c>
      <c r="GC135" s="775">
        <v>19</v>
      </c>
      <c r="GD135" s="775">
        <v>20</v>
      </c>
      <c r="GE135" s="775">
        <v>21</v>
      </c>
      <c r="GF135" s="775">
        <v>22</v>
      </c>
      <c r="GG135" s="775">
        <v>23</v>
      </c>
    </row>
    <row r="136" spans="70:189">
      <c r="BR136" s="775"/>
      <c r="BS136" s="36">
        <f>'Quick Calculator'!AK145</f>
        <v>0</v>
      </c>
      <c r="BT136" s="36">
        <f>'Quick Calculator'!AK146</f>
        <v>0</v>
      </c>
      <c r="BU136" s="36">
        <f>'Quick Calculator'!AK147</f>
        <v>0</v>
      </c>
      <c r="BV136" s="36">
        <f>'Quick Calculator'!AK148</f>
        <v>0</v>
      </c>
      <c r="BW136" s="36">
        <f>'Quick Calculator'!AK149</f>
        <v>0</v>
      </c>
      <c r="BX136" s="775"/>
      <c r="BY136" s="775"/>
      <c r="BZ136" s="775"/>
      <c r="CA136" s="775"/>
      <c r="CB136" s="775" t="s">
        <v>1627</v>
      </c>
      <c r="CC136" s="775"/>
      <c r="CD136" s="775"/>
      <c r="CE136" s="775"/>
      <c r="CF136" s="775"/>
      <c r="CG136" s="775"/>
      <c r="CH136" s="775"/>
      <c r="CI136" s="775"/>
      <c r="CJ136" s="775"/>
      <c r="CK136" s="775"/>
      <c r="CL136" s="775"/>
      <c r="CM136" s="775"/>
      <c r="CN136" s="775"/>
      <c r="CO136" s="775"/>
      <c r="CP136" s="775"/>
      <c r="CQ136" s="775"/>
      <c r="CR136" s="775"/>
      <c r="CS136" s="775"/>
      <c r="CT136" s="775"/>
      <c r="CU136" s="775"/>
      <c r="CV136" s="775"/>
      <c r="CW136" s="775"/>
      <c r="CX136" s="36">
        <f>'Quick Calculator'!BP145</f>
        <v>0</v>
      </c>
      <c r="CY136" s="36">
        <f>'Quick Calculator'!BP146</f>
        <v>0</v>
      </c>
      <c r="CZ136" s="36">
        <f>'Quick Calculator'!BP147</f>
        <v>0</v>
      </c>
      <c r="DA136" s="36">
        <f>'Quick Calculator'!BP148</f>
        <v>0</v>
      </c>
      <c r="DB136" s="36">
        <f>'Quick Calculator'!BP149</f>
        <v>0</v>
      </c>
      <c r="DC136" s="775"/>
      <c r="DD136" s="775"/>
      <c r="DE136" s="775"/>
      <c r="DF136" s="775"/>
      <c r="DG136" s="775" t="s">
        <v>1627</v>
      </c>
      <c r="DH136" s="775"/>
      <c r="DI136" s="775"/>
      <c r="DJ136" s="775"/>
      <c r="DK136" s="775"/>
      <c r="DL136" s="775"/>
      <c r="DM136" s="775"/>
      <c r="DN136" s="775"/>
      <c r="DO136" s="775"/>
      <c r="DP136" s="775"/>
      <c r="DQ136" s="775"/>
      <c r="DR136" s="775"/>
      <c r="DS136" s="775"/>
      <c r="DT136" s="775"/>
      <c r="DU136" s="775"/>
      <c r="DV136" s="775"/>
      <c r="DW136" s="775"/>
      <c r="DX136" s="775"/>
      <c r="DY136" s="775"/>
      <c r="DZ136" s="775"/>
      <c r="EA136" s="775"/>
      <c r="EB136" s="36">
        <f>'Quick Calculator'!CR147</f>
        <v>0</v>
      </c>
      <c r="EC136" s="36">
        <f>'Quick Calculator'!CR148</f>
        <v>0</v>
      </c>
      <c r="ED136" s="36">
        <f>'Quick Calculator'!CR149</f>
        <v>0</v>
      </c>
      <c r="EE136" s="775"/>
      <c r="EF136" s="775"/>
      <c r="EG136" s="775"/>
      <c r="EH136" s="775"/>
      <c r="EI136" s="775" t="s">
        <v>1627</v>
      </c>
      <c r="EJ136" s="775"/>
      <c r="EK136" s="775"/>
      <c r="EL136" s="775"/>
      <c r="EM136" s="775"/>
      <c r="EN136" s="775"/>
      <c r="EO136" s="775"/>
      <c r="EP136" s="775"/>
      <c r="EQ136" s="775"/>
      <c r="ER136" s="775"/>
      <c r="ES136" s="775"/>
      <c r="ET136" s="775"/>
      <c r="EU136" s="775"/>
      <c r="EV136" s="775"/>
      <c r="EW136" s="775"/>
      <c r="EX136" s="775"/>
      <c r="EY136" s="775"/>
      <c r="EZ136" s="775"/>
      <c r="FA136" s="775"/>
      <c r="FB136" s="775"/>
      <c r="FC136" s="775"/>
      <c r="FD136" s="775"/>
      <c r="FE136" s="36">
        <f>'Quick Calculator'!DW145</f>
        <v>0</v>
      </c>
      <c r="FF136" s="36">
        <f>'Quick Calculator'!DW146</f>
        <v>0</v>
      </c>
      <c r="FG136" s="36">
        <f>'Quick Calculator'!DW147</f>
        <v>0</v>
      </c>
      <c r="FH136" s="36">
        <f>'Quick Calculator'!DW148</f>
        <v>0</v>
      </c>
      <c r="FI136" s="36">
        <f>'Quick Calculator'!DW149</f>
        <v>0</v>
      </c>
      <c r="FJ136" s="775"/>
      <c r="FK136" s="775"/>
      <c r="FL136" s="775"/>
      <c r="FM136" s="775"/>
      <c r="FN136" s="775" t="s">
        <v>1627</v>
      </c>
      <c r="FO136" s="775"/>
      <c r="FP136" s="775"/>
      <c r="FQ136" s="775"/>
      <c r="FR136" s="775"/>
      <c r="FS136" s="775"/>
      <c r="FT136" s="775"/>
      <c r="FU136" s="775"/>
      <c r="FV136" s="775"/>
      <c r="FW136" s="775"/>
      <c r="FX136" s="775"/>
      <c r="FY136" s="775"/>
      <c r="FZ136" s="775"/>
      <c r="GA136" s="775"/>
      <c r="GB136" s="775"/>
      <c r="GC136" s="775"/>
      <c r="GD136" s="775"/>
      <c r="GE136" s="775"/>
      <c r="GF136" s="775"/>
      <c r="GG136" s="775"/>
    </row>
    <row r="137" spans="70:189">
      <c r="BR137" s="775"/>
      <c r="BS137" s="775"/>
      <c r="BT137" s="775"/>
      <c r="BU137" s="775"/>
      <c r="BV137" s="775"/>
      <c r="BW137" s="775"/>
      <c r="BX137" s="775"/>
      <c r="BY137" s="775"/>
      <c r="BZ137" s="775"/>
      <c r="CA137" s="775"/>
      <c r="CB137" s="775" t="s">
        <v>1602</v>
      </c>
      <c r="CC137" s="775"/>
      <c r="CD137" s="775"/>
      <c r="CE137" s="775"/>
      <c r="CF137" s="775"/>
      <c r="CG137" s="775"/>
      <c r="CH137" s="775"/>
      <c r="CI137" s="775"/>
      <c r="CJ137" s="775" t="s">
        <v>1630</v>
      </c>
      <c r="CK137" s="775" t="s">
        <v>1632</v>
      </c>
      <c r="CL137" s="775"/>
      <c r="CM137" s="775"/>
      <c r="CN137" s="775"/>
      <c r="CO137" s="775"/>
      <c r="CP137" s="775"/>
      <c r="CQ137" s="775"/>
      <c r="CR137" s="775"/>
      <c r="CS137" s="775"/>
      <c r="CT137" s="775"/>
      <c r="CU137" s="775"/>
      <c r="CV137" s="775"/>
      <c r="CW137" s="775"/>
      <c r="CX137" s="775"/>
      <c r="CY137" s="775"/>
      <c r="CZ137" s="775"/>
      <c r="DA137" s="775"/>
      <c r="DB137" s="775"/>
      <c r="DC137" s="775"/>
      <c r="DD137" s="775"/>
      <c r="DE137" s="775"/>
      <c r="DF137" s="775"/>
      <c r="DG137" s="775" t="s">
        <v>1602</v>
      </c>
      <c r="DH137" s="775"/>
      <c r="DI137" s="775"/>
      <c r="DJ137" s="775"/>
      <c r="DK137" s="775"/>
      <c r="DL137" s="775"/>
      <c r="DM137" s="775"/>
      <c r="DN137" s="775"/>
      <c r="DO137" s="775" t="s">
        <v>1630</v>
      </c>
      <c r="DP137" s="775" t="s">
        <v>1632</v>
      </c>
      <c r="DQ137" s="775"/>
      <c r="DR137" s="775"/>
      <c r="DS137" s="775"/>
      <c r="DT137" s="775"/>
      <c r="DU137" s="775"/>
      <c r="DV137" s="775"/>
      <c r="DW137" s="775"/>
      <c r="DX137" s="775"/>
      <c r="DY137" s="775"/>
      <c r="DZ137" s="775"/>
      <c r="EA137" s="775"/>
      <c r="EB137" s="775"/>
      <c r="EC137" s="775"/>
      <c r="ED137" s="775"/>
      <c r="EE137" s="775"/>
      <c r="EF137" s="775"/>
      <c r="EG137" s="775"/>
      <c r="EH137" s="775"/>
      <c r="EI137" s="775" t="s">
        <v>1602</v>
      </c>
      <c r="EJ137" s="775"/>
      <c r="EK137" s="775"/>
      <c r="EL137" s="775"/>
      <c r="EM137" s="775"/>
      <c r="EN137" s="775"/>
      <c r="EO137" s="775"/>
      <c r="EP137" s="775"/>
      <c r="EQ137" s="775" t="s">
        <v>1630</v>
      </c>
      <c r="ER137" s="775" t="s">
        <v>1632</v>
      </c>
      <c r="ES137" s="775"/>
      <c r="ET137" s="775"/>
      <c r="EU137" s="775"/>
      <c r="EV137" s="775"/>
      <c r="EW137" s="775"/>
      <c r="EX137" s="775"/>
      <c r="EY137" s="775"/>
      <c r="EZ137" s="775"/>
      <c r="FA137" s="775"/>
      <c r="FB137" s="775"/>
      <c r="FC137" s="775"/>
      <c r="FD137" s="775"/>
      <c r="FE137" s="775"/>
      <c r="FF137" s="775"/>
      <c r="FG137" s="775"/>
      <c r="FH137" s="775"/>
      <c r="FI137" s="775"/>
      <c r="FJ137" s="775"/>
      <c r="FK137" s="775"/>
      <c r="FL137" s="775"/>
      <c r="FM137" s="775"/>
      <c r="FN137" s="775" t="s">
        <v>1602</v>
      </c>
      <c r="FO137" s="775"/>
      <c r="FP137" s="775"/>
      <c r="FQ137" s="775"/>
      <c r="FR137" s="775"/>
      <c r="FS137" s="775"/>
      <c r="FT137" s="775"/>
      <c r="FU137" s="775"/>
      <c r="FV137" s="775" t="s">
        <v>1630</v>
      </c>
      <c r="FW137" s="775" t="s">
        <v>1632</v>
      </c>
      <c r="FX137" s="775"/>
      <c r="FY137" s="775"/>
      <c r="FZ137" s="775"/>
      <c r="GA137" s="775"/>
      <c r="GB137" s="775"/>
      <c r="GC137" s="775"/>
      <c r="GD137" s="775"/>
      <c r="GE137" s="775"/>
      <c r="GF137" s="775"/>
      <c r="GG137" s="775"/>
    </row>
    <row r="138" spans="70:189">
      <c r="BR138" s="775"/>
      <c r="BS138" s="775"/>
      <c r="BT138" s="775"/>
      <c r="BU138" s="775"/>
      <c r="BV138" s="775"/>
      <c r="BW138" s="775"/>
      <c r="BX138" s="775"/>
      <c r="BY138" s="775" t="s">
        <v>1625</v>
      </c>
      <c r="BZ138" s="775"/>
      <c r="CA138" s="775"/>
      <c r="CB138" s="775" t="s">
        <v>477</v>
      </c>
      <c r="CC138" s="775"/>
      <c r="CD138" s="775"/>
      <c r="CE138" s="775"/>
      <c r="CF138" s="775" t="s">
        <v>1619</v>
      </c>
      <c r="CG138" s="775" t="s">
        <v>1616</v>
      </c>
      <c r="CH138" s="775" t="s">
        <v>1617</v>
      </c>
      <c r="CI138" s="775" t="s">
        <v>1618</v>
      </c>
      <c r="CJ138" s="775" t="s">
        <v>1629</v>
      </c>
      <c r="CK138" s="775" t="s">
        <v>1631</v>
      </c>
      <c r="CL138" s="775" t="s">
        <v>1633</v>
      </c>
      <c r="CM138" s="775" t="s">
        <v>1634</v>
      </c>
      <c r="CN138" s="775" t="s">
        <v>1635</v>
      </c>
      <c r="CO138" s="775" t="s">
        <v>1636</v>
      </c>
      <c r="CP138" s="775" t="s">
        <v>1638</v>
      </c>
      <c r="CQ138" s="775" t="s">
        <v>1639</v>
      </c>
      <c r="CR138" s="775" t="s">
        <v>1640</v>
      </c>
      <c r="CS138" s="775" t="s">
        <v>1641</v>
      </c>
      <c r="CT138" s="775" t="s">
        <v>1616</v>
      </c>
      <c r="CU138" s="775" t="s">
        <v>1642</v>
      </c>
      <c r="CV138" s="775"/>
      <c r="CW138" s="775"/>
      <c r="CX138" s="775"/>
      <c r="CY138" s="775"/>
      <c r="CZ138" s="775"/>
      <c r="DA138" s="775"/>
      <c r="DB138" s="775"/>
      <c r="DC138" s="775"/>
      <c r="DD138" s="775" t="s">
        <v>1625</v>
      </c>
      <c r="DE138" s="775"/>
      <c r="DF138" s="775"/>
      <c r="DG138" s="775" t="s">
        <v>477</v>
      </c>
      <c r="DH138" s="775"/>
      <c r="DI138" s="775"/>
      <c r="DJ138" s="775"/>
      <c r="DK138" s="775" t="s">
        <v>1619</v>
      </c>
      <c r="DL138" s="775" t="s">
        <v>1616</v>
      </c>
      <c r="DM138" s="775" t="s">
        <v>1617</v>
      </c>
      <c r="DN138" s="775" t="s">
        <v>1618</v>
      </c>
      <c r="DO138" s="775" t="s">
        <v>1629</v>
      </c>
      <c r="DP138" s="775" t="s">
        <v>1631</v>
      </c>
      <c r="DQ138" s="775" t="s">
        <v>1633</v>
      </c>
      <c r="DR138" s="775" t="s">
        <v>1634</v>
      </c>
      <c r="DS138" s="775" t="s">
        <v>1635</v>
      </c>
      <c r="DT138" s="775" t="s">
        <v>1636</v>
      </c>
      <c r="DU138" s="775" t="s">
        <v>1638</v>
      </c>
      <c r="DV138" s="775" t="s">
        <v>1639</v>
      </c>
      <c r="DW138" s="775" t="s">
        <v>1640</v>
      </c>
      <c r="DX138" s="775" t="s">
        <v>1641</v>
      </c>
      <c r="DY138" s="775" t="s">
        <v>1616</v>
      </c>
      <c r="DZ138" s="775" t="s">
        <v>1642</v>
      </c>
      <c r="EA138" s="775"/>
      <c r="EB138" s="775"/>
      <c r="EC138" s="775"/>
      <c r="ED138" s="775"/>
      <c r="EE138" s="775"/>
      <c r="EF138" s="775" t="s">
        <v>1625</v>
      </c>
      <c r="EG138" s="775"/>
      <c r="EH138" s="775"/>
      <c r="EI138" s="775" t="s">
        <v>477</v>
      </c>
      <c r="EJ138" s="775"/>
      <c r="EK138" s="775"/>
      <c r="EL138" s="775"/>
      <c r="EM138" s="775" t="s">
        <v>1619</v>
      </c>
      <c r="EN138" s="775" t="s">
        <v>1616</v>
      </c>
      <c r="EO138" s="775" t="s">
        <v>1617</v>
      </c>
      <c r="EP138" s="775" t="s">
        <v>1618</v>
      </c>
      <c r="EQ138" s="775" t="s">
        <v>1629</v>
      </c>
      <c r="ER138" s="775" t="s">
        <v>1631</v>
      </c>
      <c r="ES138" s="775" t="s">
        <v>1633</v>
      </c>
      <c r="ET138" s="775" t="s">
        <v>1634</v>
      </c>
      <c r="EU138" s="775" t="s">
        <v>1635</v>
      </c>
      <c r="EV138" s="775" t="s">
        <v>1636</v>
      </c>
      <c r="EW138" s="775" t="s">
        <v>1638</v>
      </c>
      <c r="EX138" s="775" t="s">
        <v>1639</v>
      </c>
      <c r="EY138" s="775" t="s">
        <v>1640</v>
      </c>
      <c r="EZ138" s="775" t="s">
        <v>1641</v>
      </c>
      <c r="FA138" s="775" t="s">
        <v>1616</v>
      </c>
      <c r="FB138" s="775" t="s">
        <v>1642</v>
      </c>
      <c r="FC138" s="775"/>
      <c r="FD138" s="775"/>
      <c r="FE138" s="775"/>
      <c r="FF138" s="775"/>
      <c r="FG138" s="775"/>
      <c r="FH138" s="775"/>
      <c r="FI138" s="775"/>
      <c r="FJ138" s="775"/>
      <c r="FK138" s="775" t="s">
        <v>1625</v>
      </c>
      <c r="FL138" s="775"/>
      <c r="FM138" s="775"/>
      <c r="FN138" s="775" t="s">
        <v>477</v>
      </c>
      <c r="FO138" s="775"/>
      <c r="FP138" s="775"/>
      <c r="FQ138" s="775"/>
      <c r="FR138" s="775" t="s">
        <v>1619</v>
      </c>
      <c r="FS138" s="775" t="s">
        <v>1642</v>
      </c>
      <c r="FT138" s="775" t="s">
        <v>1617</v>
      </c>
      <c r="FU138" s="775" t="s">
        <v>1618</v>
      </c>
      <c r="FV138" s="775" t="s">
        <v>1629</v>
      </c>
      <c r="FW138" s="775" t="s">
        <v>1631</v>
      </c>
      <c r="FX138" s="775" t="s">
        <v>1633</v>
      </c>
      <c r="FY138" s="775" t="s">
        <v>1634</v>
      </c>
      <c r="FZ138" s="775" t="s">
        <v>1635</v>
      </c>
      <c r="GA138" s="775" t="s">
        <v>1636</v>
      </c>
      <c r="GB138" s="775" t="s">
        <v>1638</v>
      </c>
      <c r="GC138" s="775" t="s">
        <v>1639</v>
      </c>
      <c r="GD138" s="775" t="s">
        <v>1640</v>
      </c>
      <c r="GE138" s="775" t="s">
        <v>1641</v>
      </c>
      <c r="GF138" s="775" t="s">
        <v>1616</v>
      </c>
      <c r="GG138" s="775" t="s">
        <v>1642</v>
      </c>
    </row>
    <row r="139" spans="70:189">
      <c r="BR139" s="775"/>
      <c r="BS139" s="775"/>
      <c r="BT139" s="775"/>
      <c r="BU139" s="775"/>
      <c r="BV139" s="775"/>
      <c r="BW139" s="775"/>
      <c r="BX139" s="775"/>
      <c r="BY139" s="775"/>
      <c r="BZ139" s="775" t="s">
        <v>1620</v>
      </c>
      <c r="CA139" s="775"/>
      <c r="CB139" s="775" t="s">
        <v>1626</v>
      </c>
      <c r="CC139" s="775" t="s">
        <v>1611</v>
      </c>
      <c r="CD139" s="775" t="s">
        <v>59</v>
      </c>
      <c r="CE139" s="775" t="s">
        <v>1612</v>
      </c>
      <c r="CF139" s="775" t="s">
        <v>1613</v>
      </c>
      <c r="CG139" s="775" t="s">
        <v>1614</v>
      </c>
      <c r="CH139" s="775" t="s">
        <v>1615</v>
      </c>
      <c r="CI139" s="775"/>
      <c r="CJ139" s="775"/>
      <c r="CK139" s="775"/>
      <c r="CL139" s="775"/>
      <c r="CM139" s="775"/>
      <c r="CN139" s="775"/>
      <c r="CO139" s="775"/>
      <c r="CP139" s="775"/>
      <c r="CQ139" s="775"/>
      <c r="CR139" s="775"/>
      <c r="CS139" s="775"/>
      <c r="CT139" s="775"/>
      <c r="CU139" s="775"/>
      <c r="CV139" s="775"/>
      <c r="CW139" s="775"/>
      <c r="CX139" s="775"/>
      <c r="CY139" s="775"/>
      <c r="CZ139" s="775"/>
      <c r="DA139" s="775"/>
      <c r="DB139" s="775"/>
      <c r="DC139" s="775"/>
      <c r="DD139" s="775"/>
      <c r="DE139" s="775" t="s">
        <v>1620</v>
      </c>
      <c r="DF139" s="775"/>
      <c r="DG139" s="775" t="s">
        <v>1626</v>
      </c>
      <c r="DH139" s="775" t="s">
        <v>1611</v>
      </c>
      <c r="DI139" s="775" t="s">
        <v>59</v>
      </c>
      <c r="DJ139" s="775" t="s">
        <v>1612</v>
      </c>
      <c r="DK139" s="775" t="s">
        <v>1613</v>
      </c>
      <c r="DL139" s="775" t="s">
        <v>1614</v>
      </c>
      <c r="DM139" s="775" t="s">
        <v>1615</v>
      </c>
      <c r="DN139" s="775"/>
      <c r="DO139" s="775"/>
      <c r="DP139" s="775"/>
      <c r="DQ139" s="775"/>
      <c r="DR139" s="775"/>
      <c r="DS139" s="775"/>
      <c r="DT139" s="775"/>
      <c r="DU139" s="775"/>
      <c r="DV139" s="775"/>
      <c r="DW139" s="775"/>
      <c r="DX139" s="775"/>
      <c r="DY139" s="775"/>
      <c r="DZ139" s="775"/>
      <c r="EA139" s="775"/>
      <c r="EB139" s="775"/>
      <c r="EC139" s="775"/>
      <c r="ED139" s="775"/>
      <c r="EE139" s="775"/>
      <c r="EF139" s="775"/>
      <c r="EG139" s="775" t="s">
        <v>1620</v>
      </c>
      <c r="EH139" s="775"/>
      <c r="EI139" s="775" t="s">
        <v>1626</v>
      </c>
      <c r="EJ139" s="775" t="s">
        <v>1611</v>
      </c>
      <c r="EK139" s="775" t="s">
        <v>59</v>
      </c>
      <c r="EL139" s="775" t="s">
        <v>1612</v>
      </c>
      <c r="EM139" s="775" t="s">
        <v>1613</v>
      </c>
      <c r="EN139" s="775" t="s">
        <v>1647</v>
      </c>
      <c r="EO139" s="775" t="s">
        <v>1615</v>
      </c>
      <c r="EP139" s="775"/>
      <c r="EQ139" s="775"/>
      <c r="ER139" s="775"/>
      <c r="ES139" s="775"/>
      <c r="ET139" s="775"/>
      <c r="EU139" s="775"/>
      <c r="EV139" s="775"/>
      <c r="EW139" s="775"/>
      <c r="EX139" s="775"/>
      <c r="EY139" s="775"/>
      <c r="EZ139" s="775"/>
      <c r="FA139" s="775"/>
      <c r="FB139" s="775"/>
      <c r="FC139" s="775"/>
      <c r="FD139" s="775"/>
      <c r="FE139" s="775"/>
      <c r="FF139" s="775"/>
      <c r="FG139" s="775"/>
      <c r="FH139" s="775"/>
      <c r="FI139" s="775"/>
      <c r="FJ139" s="775"/>
      <c r="FK139" s="775"/>
      <c r="FL139" s="775" t="s">
        <v>1620</v>
      </c>
      <c r="FM139" s="775"/>
      <c r="FN139" s="775" t="s">
        <v>1626</v>
      </c>
      <c r="FO139" s="775" t="s">
        <v>1611</v>
      </c>
      <c r="FP139" s="775" t="s">
        <v>59</v>
      </c>
      <c r="FQ139" s="775" t="s">
        <v>1612</v>
      </c>
      <c r="FR139" s="775" t="s">
        <v>1613</v>
      </c>
      <c r="FS139" s="775" t="s">
        <v>1614</v>
      </c>
      <c r="FT139" s="775" t="s">
        <v>1615</v>
      </c>
      <c r="FU139" s="775"/>
      <c r="FV139" s="775"/>
      <c r="FW139" s="775"/>
      <c r="FX139" s="775"/>
      <c r="FY139" s="775"/>
      <c r="FZ139" s="775"/>
      <c r="GA139" s="775"/>
      <c r="GB139" s="775"/>
      <c r="GC139" s="775"/>
      <c r="GD139" s="775"/>
      <c r="GE139" s="775"/>
      <c r="GF139" s="775"/>
      <c r="GG139" s="775"/>
    </row>
    <row r="140" spans="70:189">
      <c r="BR140" s="775"/>
      <c r="BS140" s="775" t="s">
        <v>1628</v>
      </c>
      <c r="BT140" s="775"/>
      <c r="BU140" s="775"/>
      <c r="BV140" s="775" t="s">
        <v>1621</v>
      </c>
      <c r="BW140" s="775"/>
      <c r="BX140" s="775"/>
      <c r="BY140" s="775"/>
      <c r="BZ140" s="775" t="e">
        <f>ABS((CC140-CB140))</f>
        <v>#DIV/0!</v>
      </c>
      <c r="CA140" s="775"/>
      <c r="CB140" s="775">
        <f>V149</f>
        <v>0</v>
      </c>
      <c r="CC140" s="673" t="e">
        <f>CG140</f>
        <v>#DIV/0!</v>
      </c>
      <c r="CD140" s="673">
        <f t="shared" ref="CD140:CD204" si="228">$X$7</f>
        <v>2</v>
      </c>
      <c r="CE140" s="775" t="b">
        <f>IF(CB140&lt;CD140,TRUE,FALSE)</f>
        <v>1</v>
      </c>
      <c r="CF140" s="673"/>
      <c r="CG140" s="775" t="e">
        <f>((100*(-0.0126+0.01475*($X$7*((1/CH140)^0.25))))/(1+(-0.0126+0.01475*($X$7*((1/CH140)^0.25)))))</f>
        <v>#DIV/0!</v>
      </c>
      <c r="CH140" s="775" t="e">
        <f>CI140*(2.65*($W$7/0.03)^0.5-1.35)</f>
        <v>#DIV/0!</v>
      </c>
      <c r="CI140" s="775" t="e">
        <f>((0.03/(2.2*(10^($AS$10+($AT$10*(LOG((0.03*($AB$7+$AC$7))/CB140))))))))</f>
        <v>#DIV/0!</v>
      </c>
      <c r="CJ140" s="775" t="e">
        <f>($W$7/(2.2*((0.976*CI140+0.022)^0.625)))</f>
        <v>#DIV/0!</v>
      </c>
      <c r="CK140" s="775" t="e">
        <f>($W$7/(2.2*((0.956*CI140+0.037)^0.5)))</f>
        <v>#DIV/0!</v>
      </c>
      <c r="CL140" s="775" t="e">
        <f>$X$7*((1/CH140)^0.25)</f>
        <v>#DIV/0!</v>
      </c>
      <c r="CM140" s="775" t="e">
        <f>$X$7*((1/CI140)^0.25)</f>
        <v>#DIV/0!</v>
      </c>
      <c r="CN140" s="775" t="e">
        <f>IF($R$30&lt;=40,$AF$7/(CH140^0.25)/SQRT((($AV$10+($AE$7/(CH140^0.25))))),IF($R$30&gt;40,$AF$7/(CH140^0.25)/SQRT((($AW$10+($AE$7/(CH140^0.25))))),""))</f>
        <v>#DIV/0!</v>
      </c>
      <c r="CO140" s="775" t="e">
        <f>IF($R$30&lt;=40,$AF$7/(CI140^0.25)/SQRT((($AV$10+($AE$7/(CI140^0.25))))),IF($R$30&gt;40,$AF$7/(CI140^0.25)/SQRT((($AW$10+($AE$7/(CI140^0.25))))),""))</f>
        <v>#DIV/0!</v>
      </c>
      <c r="CP140" s="775" t="e">
        <f>CH140*($AB$7+$AC$7)</f>
        <v>#DIV/0!</v>
      </c>
      <c r="CQ140" s="775" t="e">
        <f>CP140/$AQ$101</f>
        <v>#DIV/0!</v>
      </c>
      <c r="CR140" s="775" t="e">
        <f>$W$7/CH140</f>
        <v>#DIV/0!</v>
      </c>
      <c r="CS140" s="775" t="e">
        <f>CR140/2.2</f>
        <v>#DIV/0!</v>
      </c>
      <c r="CT140" s="775" t="e">
        <f>((100*(-0.0126+0.01475*($X$7*((1/CH140)^0.25))))/(1+(-0.0126+0.01475*($X$7*((1/CH140)^0.25)))))</f>
        <v>#DIV/0!</v>
      </c>
      <c r="CU140" s="775" t="e">
        <f>((100*(-0.0126+0.01475*CO140)/(1+(-0.0126+0.01475*CO140))))</f>
        <v>#DIV/0!</v>
      </c>
      <c r="CV140" s="775"/>
      <c r="CW140" s="775"/>
      <c r="CX140" s="775" t="s">
        <v>1628</v>
      </c>
      <c r="CY140" s="775"/>
      <c r="CZ140" s="775"/>
      <c r="DA140" s="775" t="s">
        <v>1621</v>
      </c>
      <c r="DB140" s="775"/>
      <c r="DC140" s="775"/>
      <c r="DD140" s="775"/>
      <c r="DE140" s="775">
        <f>ABS((DH140-DG140))</f>
        <v>12.888341979227263</v>
      </c>
      <c r="DF140" s="776">
        <v>1</v>
      </c>
      <c r="DG140" s="775">
        <f>DJ133</f>
        <v>50</v>
      </c>
      <c r="DH140" s="673">
        <f>DL140</f>
        <v>37.111658020772737</v>
      </c>
      <c r="DI140" s="673">
        <f>$DG$133</f>
        <v>19</v>
      </c>
      <c r="DJ140" s="775" t="b">
        <f>IF(DG140&lt;DI140,TRUE,FALSE)</f>
        <v>0</v>
      </c>
      <c r="DK140" s="673"/>
      <c r="DL140" s="775">
        <f>((100*(-0.0126+0.01475*($DG$133*((1/DM140)^0.25))))/(1+(-0.0126+0.01475*($DG$133*((1/DM140)^0.25)))))</f>
        <v>37.111658020772737</v>
      </c>
      <c r="DM140" s="775">
        <f>DN140*(2.65*($DN$133/0.03)^0.5-1.35)</f>
        <v>4.6743426818555756E-2</v>
      </c>
      <c r="DN140" s="775">
        <f>((0.03/(2.2*(10^($AS$11+($AT$11*(LOG((0.03*($AB$8+$AC$8))/DG140))))))))</f>
        <v>5.5064006378761719E-3</v>
      </c>
      <c r="DO140" s="775">
        <f>($DN$133/(2.2*((0.976*DN140+0.022)^0.625)))</f>
        <v>1.7814077570086335</v>
      </c>
      <c r="DP140" s="775">
        <f>($DN$133/(2.2*((0.956*DN140+0.037)^0.5)))</f>
        <v>0.91435804947984911</v>
      </c>
      <c r="DQ140" s="775">
        <f>$DG$133*((1/DM140)^0.25)</f>
        <v>40.862361725712454</v>
      </c>
      <c r="DR140" s="775">
        <f>$DG$133*((1/DN140)^0.25)</f>
        <v>69.748785399722109</v>
      </c>
      <c r="DS140" s="775">
        <f>IF($R$50&lt;=40,$AF$8/(DM140^0.25)/SQRT((($AV$11+($AE$8/(DM140^0.25))))),IF($R$50&gt;40,$AF$8/(DM140^0.25)/SQRT((($AW$11+($AE$8/(DM140^0.25))))),""))</f>
        <v>31.826502593690631</v>
      </c>
      <c r="DT140" s="775">
        <f>IF($R$50&lt;=40,$AF$8/(DN140^0.25)/SQRT((($AV$11+($AE$8/(DN140^0.25))))),IF($R$50&gt;40,$AF$8/(DN140^0.25)/SQRT((($AW$11+($AE$8/(DN140^0.25))))),""))</f>
        <v>48.496837695797872</v>
      </c>
      <c r="DU140" s="775">
        <f>DM140*($AB$8+$AC$8)</f>
        <v>65.627771253252277</v>
      </c>
      <c r="DV140" s="775">
        <f>DU140/$AR$101</f>
        <v>2.6724444387877684</v>
      </c>
      <c r="DW140" s="775">
        <f>$DN$14/DM140</f>
        <v>24.285767588382271</v>
      </c>
      <c r="DX140" s="775">
        <f>DW140/2.2</f>
        <v>11.038985267446487</v>
      </c>
      <c r="DY140" s="775">
        <f>((100*(-0.0126+0.01475*($DG$133*((1/DM140)^0.25))))/(1+(-0.0126+0.01475*($DG$133*((1/DM140)^0.25)))))</f>
        <v>37.111658020772737</v>
      </c>
      <c r="DZ140" s="775">
        <f>((100*(-0.0126+0.01475*DT140)/(1+(-0.0126+0.01475*DT140))))</f>
        <v>41.270726098581854</v>
      </c>
      <c r="EA140" s="775"/>
      <c r="EB140" s="775"/>
      <c r="EC140" s="775" t="s">
        <v>1621</v>
      </c>
      <c r="ED140" s="775"/>
      <c r="EE140" s="775"/>
      <c r="EF140" s="775"/>
      <c r="EG140" s="775" t="e">
        <f>ABS((EJ140-EI140))</f>
        <v>#DIV/0!</v>
      </c>
      <c r="EH140" s="775"/>
      <c r="EI140" s="775">
        <f>V149</f>
        <v>0</v>
      </c>
      <c r="EJ140" s="673" t="e">
        <f>EN140</f>
        <v>#DIV/0!</v>
      </c>
      <c r="EK140" s="673">
        <f>$Z$7</f>
        <v>2.2510196371999172</v>
      </c>
      <c r="EL140" s="775" t="b">
        <f>IF(EI140&lt;EK140,TRUE,FALSE)</f>
        <v>1</v>
      </c>
      <c r="EM140" s="673"/>
      <c r="EN140" s="775" t="e">
        <f>((100*(-0.0126+0.01475*($X$7*((1/EO140)^0.25))))/(1+(-0.0126+0.01475*($X$7*((1/EO140)^0.25)))))</f>
        <v>#DIV/0!</v>
      </c>
      <c r="EO140" s="775" t="e">
        <f>EP140*(2.65*($W$7/0.03)^0.5-1.35)</f>
        <v>#DIV/0!</v>
      </c>
      <c r="EP140" s="775" t="e">
        <f>((0.03/(2.2*(10^($AS$10+($AT$10*(LOG((0.03*($AB$7+$AC$7))/EI140))))))))</f>
        <v>#DIV/0!</v>
      </c>
      <c r="EQ140" s="775" t="e">
        <f>($W$7/(2.2*((0.976*EP140+0.022)^0.625)))</f>
        <v>#DIV/0!</v>
      </c>
      <c r="ER140" s="775" t="e">
        <f>($W$7/(2.2*((0.956*EP140+0.037)^0.5)))</f>
        <v>#DIV/0!</v>
      </c>
      <c r="ES140" s="775" t="e">
        <f>$X$7*((1/EO140)^0.25)</f>
        <v>#DIV/0!</v>
      </c>
      <c r="ET140" s="775" t="e">
        <f>$X$7*((1/EP140)^0.25)</f>
        <v>#DIV/0!</v>
      </c>
      <c r="EU140" s="775" t="e">
        <f>IF($R$30&lt;=40,$AF$7/(EO140^0.25)/SQRT((($AV$10+($AE$7/(EO140^0.25))))),IF($R$30&gt;40,$AF$7/(EO140^0.25)/SQRT((($AW$10+($AE$7/(EO140^0.25))))),""))</f>
        <v>#DIV/0!</v>
      </c>
      <c r="EV140" s="775" t="e">
        <f>IF($R$30&lt;=40,$AF$7/(EP140^0.25)/SQRT((($AV$10+($AE$7/(EP140^0.25))))),IF($R$30&gt;40,$AF$7/(EP140^0.25)/SQRT((($AW$10+($AE$7/(EP140^0.25))))),""))</f>
        <v>#DIV/0!</v>
      </c>
      <c r="EW140" s="775" t="e">
        <f>EO140*($AB$7+$AC$7)</f>
        <v>#DIV/0!</v>
      </c>
      <c r="EX140" s="775" t="e">
        <f>EW140/$AQ$101</f>
        <v>#DIV/0!</v>
      </c>
      <c r="EY140" s="775" t="e">
        <f>$W$7/EO140</f>
        <v>#DIV/0!</v>
      </c>
      <c r="EZ140" s="775" t="e">
        <f>EY140/2.2</f>
        <v>#DIV/0!</v>
      </c>
      <c r="FA140" s="775" t="e">
        <f>((100*(-0.0126+0.01475*($X$7*((1/EO140)^0.25))))/(1+(-0.0126+0.01475*($X$7*((1/EO140)^0.25)))))</f>
        <v>#DIV/0!</v>
      </c>
      <c r="FB140" s="775" t="e">
        <f>((100*(-0.0126+0.01475*EV140)/(1+(-0.0126+0.01475*EV140))))</f>
        <v>#DIV/0!</v>
      </c>
      <c r="FC140" s="775"/>
      <c r="FD140" s="775"/>
      <c r="FE140" s="775" t="s">
        <v>1628</v>
      </c>
      <c r="FF140" s="775"/>
      <c r="FG140" s="775"/>
      <c r="FH140" s="775" t="s">
        <v>1621</v>
      </c>
      <c r="FI140" s="775"/>
      <c r="FJ140" s="775"/>
      <c r="FK140" s="775"/>
      <c r="FL140" s="775">
        <f>ABS((FO140-FN140))</f>
        <v>8.7292739014181464</v>
      </c>
      <c r="FM140" s="775"/>
      <c r="FN140" s="775">
        <f>DJ133</f>
        <v>50</v>
      </c>
      <c r="FO140" s="673">
        <f>FS140</f>
        <v>41.270726098581854</v>
      </c>
      <c r="FP140" s="673">
        <f>$DQ$133</f>
        <v>24.403675819467587</v>
      </c>
      <c r="FQ140" s="775" t="b">
        <f>IF(FN140&lt;FP140,TRUE,FALSE)</f>
        <v>0</v>
      </c>
      <c r="FR140" s="673"/>
      <c r="FS140" s="775">
        <f>GG140</f>
        <v>41.270726098581854</v>
      </c>
      <c r="FT140" s="775">
        <f>FU140*(2.65*($DN$133/0.03)^0.5-1.35)</f>
        <v>4.6743426818555756E-2</v>
      </c>
      <c r="FU140" s="775">
        <f>((0.03/(2.2*(10^($AS$11+($AT$11*(LOG((0.03*($AB$8+$AC$8))/FN140))))))))</f>
        <v>5.5064006378761719E-3</v>
      </c>
      <c r="FV140" s="775">
        <f>($DN$133/(2.2*((0.976*FU140+0.022)^0.625)))</f>
        <v>1.7814077570086335</v>
      </c>
      <c r="FW140" s="775">
        <f>($DN$133/(2.2*((0.956*FU140+0.037)^0.5)))</f>
        <v>0.91435804947984911</v>
      </c>
      <c r="FX140" s="775">
        <f>$DQ$133*((1/FT140)^0.25)</f>
        <v>52.483780461689832</v>
      </c>
      <c r="FY140" s="775">
        <f>$DQ$133*((1/FU140)^0.25)</f>
        <v>89.585618299812225</v>
      </c>
      <c r="FZ140" s="775">
        <f>IF($R$50&lt;=40,$AF$8/(FT140^0.25)/SQRT((($AV$11+($AE$8/(FT140^0.25))))),IF($R$50&gt;40,$AF$8/(FT140^0.25)/SQRT((($AW$11+($AE$8/(FT140^0.25))))),""))</f>
        <v>31.826502593690631</v>
      </c>
      <c r="GA140" s="775">
        <f>IF($R$50&lt;=40,$AF$8/(FU140^0.25)/SQRT((($AV$11+($AE$8/(FU140^0.25))))),IF($R$50&gt;40,$AF$8/(FU140^0.25)/SQRT((($AW$11+($AE$8/(FU140^0.25))))),""))</f>
        <v>48.496837695797872</v>
      </c>
      <c r="GB140" s="775">
        <f>FT140*($AB$8+$AC$8)</f>
        <v>65.627771253252277</v>
      </c>
      <c r="GC140" s="775">
        <f>GB140/$AR$101</f>
        <v>2.6724444387877684</v>
      </c>
      <c r="GD140" s="775">
        <f>$DN$133/FT140</f>
        <v>8.8471692533856476</v>
      </c>
      <c r="GE140" s="775">
        <f>GD140/2.2</f>
        <v>4.0214405697207489</v>
      </c>
      <c r="GF140" s="775">
        <f>((100*(-0.0126+0.01475*($DQ$133*((1/FT140)^0.25))))/(1+(-0.0126+0.01475*($DQ$133*((1/FT140)^0.25)))))</f>
        <v>43.231354044579255</v>
      </c>
      <c r="GG140" s="775">
        <f>((100*(-0.0126+0.01475*GA140)/(1+(-0.0126+0.01475*GA140))))</f>
        <v>41.270726098581854</v>
      </c>
    </row>
    <row r="141" spans="70:189">
      <c r="BR141" s="775"/>
      <c r="BS141" s="775"/>
      <c r="BT141" s="775"/>
      <c r="BU141" s="775">
        <f>VLOOKUP(BU143,BZ141:CA240,2,FALSE)</f>
        <v>4</v>
      </c>
      <c r="BV141" s="775" t="s">
        <v>1622</v>
      </c>
      <c r="BW141" s="775"/>
      <c r="BX141" s="775"/>
      <c r="BY141" s="775" t="b">
        <f>IF(BZ141&lt;0.2,TRUE,FALSE)</f>
        <v>0</v>
      </c>
      <c r="BZ141" s="775">
        <f t="shared" ref="BZ141:BZ204" si="229">ABS((CC141-CB141))</f>
        <v>0.6049749691625852</v>
      </c>
      <c r="CA141" s="775">
        <v>1</v>
      </c>
      <c r="CB141" s="775">
        <f>CB140+0.5</f>
        <v>0.5</v>
      </c>
      <c r="CC141" s="673">
        <f t="shared" ref="CC141:CC204" si="230">CG141</f>
        <v>1.1049749691625852</v>
      </c>
      <c r="CD141" s="91">
        <f t="shared" si="228"/>
        <v>2</v>
      </c>
      <c r="CE141" s="775" t="b">
        <f t="shared" ref="CE141:CE204" si="231">IF(CB141&lt;CD141,TRUE,FALSE)</f>
        <v>1</v>
      </c>
      <c r="CF141" s="673"/>
      <c r="CG141" s="775">
        <f t="shared" ref="CG141:CG204" si="232">((100*(-0.0126+0.01475*($X$7*((1/CH141)^0.25))))/(1+(-0.0126+0.01475*($X$7*((1/CH141)^0.25)))))</f>
        <v>1.1049749691625852</v>
      </c>
      <c r="CH141" s="775">
        <f t="shared" ref="CH141:CH204" si="233">CI141*(2.65*($W$7/0.03)^0.5-1.35)</f>
        <v>2.3710280570536808</v>
      </c>
      <c r="CI141" s="775">
        <f t="shared" ref="CI141:CI204" si="234">((0.03/(2.2*(10^($AS$10+($AT$10*(LOG((0.03*($AB$7+$AC$7))/CB141))))))))</f>
        <v>0.15858372396641737</v>
      </c>
      <c r="CJ141" s="775">
        <f t="shared" ref="CJ141:CJ204" si="235">($W$7/(2.2*((0.976*CI141+0.022)^0.625)))</f>
        <v>1.5240790902146102</v>
      </c>
      <c r="CK141" s="775">
        <f t="shared" ref="CK141:CK204" si="236">($W$7/(2.2*((0.956*CI141+0.037)^0.5)))</f>
        <v>1.1881517258235548</v>
      </c>
      <c r="CL141" s="775">
        <f t="shared" ref="CL141:CL204" si="237">$X$7*((1/CH141)^0.25)</f>
        <v>1.6117431101726694</v>
      </c>
      <c r="CM141" s="775">
        <f t="shared" ref="CM141:CM204" si="238">$X$7*((1/CI141)^0.25)</f>
        <v>3.1693145369688045</v>
      </c>
      <c r="CN141" s="775">
        <f t="shared" ref="CN141:CN204" si="239">IF($R$30&lt;=40,$AF$7/(CH141^0.25)/SQRT((($AV$10+($AE$7/(CH141^0.25))))),IF($R$30&gt;40,$AF$7/(CH141^0.25)/SQRT((($AW$10+($AE$7/(CH141^0.25))))),""))</f>
        <v>1.3982460645606491</v>
      </c>
      <c r="CO141" s="775">
        <f t="shared" ref="CO141:CO204" si="240">IF($R$30&lt;=40,$AF$7/(CI141^0.25)/SQRT((($AV$10+($AE$7/(CI141^0.25))))),IF($R$30&gt;40,$AF$7/(CI141^0.25)/SQRT((($AW$10+($AE$7/(CI141^0.25))))),""))</f>
        <v>2.0367960874465618</v>
      </c>
      <c r="CP141" s="775">
        <f t="shared" ref="CP141:CP204" si="241">CH141*($AB$7+$AC$7)</f>
        <v>2963.785071317101</v>
      </c>
      <c r="CQ141" s="775">
        <f t="shared" ref="CQ141:CQ204" si="242">CP141/$AQ$101</f>
        <v>480.44890464901698</v>
      </c>
      <c r="CR141" s="775">
        <f>$W$7/CH141</f>
        <v>0.47877965704490133</v>
      </c>
      <c r="CS141" s="775">
        <f t="shared" ref="CS141:CS204" si="243">CR141/2.2</f>
        <v>0.21762711683859148</v>
      </c>
      <c r="CT141" s="775">
        <f t="shared" ref="CT141:CT204" si="244">((100*(-0.0126+0.01475*($X$7*((1/CH141)^0.25))))/(1+(-0.0126+0.01475*($X$7*((1/CH141)^0.25)))))</f>
        <v>1.1049749691625852</v>
      </c>
      <c r="CU141" s="775">
        <f t="shared" ref="CU141:CU204" si="245">((100*(-0.0126+0.01475*CO141)/(1+(-0.0126+0.01475*CO141))))</f>
        <v>1.7143708991997413</v>
      </c>
      <c r="CV141" s="775"/>
      <c r="CW141" s="775"/>
      <c r="CX141" s="775"/>
      <c r="CY141" s="775"/>
      <c r="CZ141" s="775">
        <f>VLOOKUP(CZ143,DE141:DF240,2,FALSE)</f>
        <v>30</v>
      </c>
      <c r="DA141" s="775" t="s">
        <v>1622</v>
      </c>
      <c r="DB141" s="775"/>
      <c r="DC141" s="775"/>
      <c r="DD141" s="775" t="b">
        <f>IF(DE141&lt;0.2,TRUE,FALSE)</f>
        <v>0</v>
      </c>
      <c r="DE141" s="775">
        <f>ABS((DH141-DG141))</f>
        <v>12.439656929235433</v>
      </c>
      <c r="DF141" s="776">
        <v>2</v>
      </c>
      <c r="DG141" s="775">
        <f>DG140-0.5</f>
        <v>49.5</v>
      </c>
      <c r="DH141" s="673">
        <f>DL141</f>
        <v>37.060343070764567</v>
      </c>
      <c r="DI141" s="673">
        <f t="shared" ref="DI141:DI204" si="246">$DG$133</f>
        <v>19</v>
      </c>
      <c r="DJ141" s="775" t="b">
        <f t="shared" ref="DJ141:DJ204" si="247">IF(DG141&lt;DI141,TRUE,FALSE)</f>
        <v>0</v>
      </c>
      <c r="DK141" s="673"/>
      <c r="DL141" s="775">
        <f>((100*(-0.0126+0.01475*($DG$133*((1/DM141)^0.25))))/(1+(-0.0126+0.01475*($DG$133*((1/DM141)^0.25)))))</f>
        <v>37.060343070764567</v>
      </c>
      <c r="DM141" s="775">
        <f>DN141*(2.65*($DN$133/0.03)^0.5-1.35)</f>
        <v>4.7147773242224203E-2</v>
      </c>
      <c r="DN141" s="775">
        <f>((0.03/(2.2*(10^($AS$11+($AT$11*(LOG((0.03*($AB$8+$AC$8))/DG141))))))))</f>
        <v>5.5540328624850673E-3</v>
      </c>
      <c r="DO141" s="775">
        <f t="shared" ref="DO141:DO204" si="248">($DN$133/(2.2*((0.976*DN141+0.022)^0.625)))</f>
        <v>1.779519534924817</v>
      </c>
      <c r="DP141" s="775">
        <f t="shared" ref="DP141:DP204" si="249">($DN$133/(2.2*((0.956*DN141+0.037)^0.5)))</f>
        <v>0.91386587117377538</v>
      </c>
      <c r="DQ141" s="775">
        <f t="shared" ref="DQ141:DQ204" si="250">$DG$133*((1/DM141)^0.25)</f>
        <v>40.77446810129652</v>
      </c>
      <c r="DR141" s="775">
        <f t="shared" ref="DR141:DR204" si="251">$DG$133*((1/DN141)^0.25)</f>
        <v>69.598758008047056</v>
      </c>
      <c r="DS141" s="775">
        <f t="shared" ref="DS141:DS204" si="252">IF($R$50&lt;=40,$AF$8/(DM141^0.25)/SQRT((($AV$11+($AE$8/(DM141^0.25))))),IF($R$50&gt;40,$AF$8/(DM141^0.25)/SQRT((($AW$11+($AE$8/(DM141^0.25))))),""))</f>
        <v>31.770363187295303</v>
      </c>
      <c r="DT141" s="775">
        <f t="shared" ref="DT141:DT204" si="253">IF($R$50&lt;=40,$AF$8/(DN141^0.25)/SQRT((($AV$11+($AE$8/(DN141^0.25))))),IF($R$50&gt;40,$AF$8/(DN141^0.25)/SQRT((($AW$11+($AE$8/(DN141^0.25))))),""))</f>
        <v>48.418061615784517</v>
      </c>
      <c r="DU141" s="775">
        <f t="shared" ref="DU141:DU204" si="254">DM141*($AB$8+$AC$8)</f>
        <v>66.195473632082781</v>
      </c>
      <c r="DV141" s="775">
        <f t="shared" ref="DV141:DV204" si="255">DU141/$AR$101</f>
        <v>2.6955619854638182</v>
      </c>
      <c r="DW141" s="775">
        <f t="shared" ref="DW141:DW204" si="256">$DN$14/DM141</f>
        <v>24.077489177863171</v>
      </c>
      <c r="DX141" s="775">
        <f t="shared" ref="DX141:DX204" si="257">DW141/2.2</f>
        <v>10.944313262665077</v>
      </c>
      <c r="DY141" s="775">
        <f t="shared" ref="DY141:DY204" si="258">((100*(-0.0126+0.01475*($DG$133*((1/DM141)^0.25))))/(1+(-0.0126+0.01475*($DG$133*((1/DM141)^0.25)))))</f>
        <v>37.060343070764567</v>
      </c>
      <c r="DZ141" s="775">
        <f t="shared" ref="DZ141:DZ204" si="259">((100*(-0.0126+0.01475*DT141)/(1+(-0.0126+0.01475*DT141))))</f>
        <v>41.230621690167027</v>
      </c>
      <c r="EA141" s="775"/>
      <c r="EB141" s="775">
        <f>VLOOKUP(EB143,EG141:EH240,2,FALSE)</f>
        <v>4</v>
      </c>
      <c r="EC141" s="775" t="s">
        <v>1622</v>
      </c>
      <c r="ED141" s="775"/>
      <c r="EE141" s="775"/>
      <c r="EF141" s="775" t="b">
        <f>IF(EG141&lt;0.2,TRUE,FALSE)</f>
        <v>0</v>
      </c>
      <c r="EG141" s="775">
        <f t="shared" ref="EG141:EG204" si="260">ABS((EJ141-EI141))</f>
        <v>0.6049749691625852</v>
      </c>
      <c r="EH141" s="775">
        <v>1</v>
      </c>
      <c r="EI141" s="775">
        <f>EI140+0.5</f>
        <v>0.5</v>
      </c>
      <c r="EJ141" s="673">
        <f t="shared" ref="EJ141:EJ204" si="261">EN141</f>
        <v>1.1049749691625852</v>
      </c>
      <c r="EK141" s="673">
        <f t="shared" ref="EK141:EK204" si="262">$Z$7</f>
        <v>2.2510196371999172</v>
      </c>
      <c r="EL141" s="775" t="b">
        <f t="shared" ref="EL141:EL204" si="263">IF(EI141&lt;EK141,TRUE,FALSE)</f>
        <v>1</v>
      </c>
      <c r="EM141" s="673"/>
      <c r="EN141" s="775">
        <f t="shared" ref="EN141:EN204" si="264">((100*(-0.0126+0.01475*($X$7*((1/EO141)^0.25))))/(1+(-0.0126+0.01475*($X$7*((1/EO141)^0.25)))))</f>
        <v>1.1049749691625852</v>
      </c>
      <c r="EO141" s="775">
        <f t="shared" ref="EO141:EO204" si="265">EP141*(2.65*($W$7/0.03)^0.5-1.35)</f>
        <v>2.3710280570536808</v>
      </c>
      <c r="EP141" s="775">
        <f t="shared" ref="EP141:EP204" si="266">((0.03/(2.2*(10^($AS$10+($AT$10*(LOG((0.03*($AB$7+$AC$7))/EI141))))))))</f>
        <v>0.15858372396641737</v>
      </c>
      <c r="EQ141" s="775">
        <f t="shared" ref="EQ141:EQ204" si="267">($W$7/(2.2*((0.976*EP141+0.022)^0.625)))</f>
        <v>1.5240790902146102</v>
      </c>
      <c r="ER141" s="775">
        <f t="shared" ref="ER141:ER204" si="268">($W$7/(2.2*((0.956*EP141+0.037)^0.5)))</f>
        <v>1.1881517258235548</v>
      </c>
      <c r="ES141" s="775">
        <f t="shared" ref="ES141:ES204" si="269">$X$7*((1/EO141)^0.25)</f>
        <v>1.6117431101726694</v>
      </c>
      <c r="ET141" s="775">
        <f t="shared" ref="ET141:ET204" si="270">$X$7*((1/EP141)^0.25)</f>
        <v>3.1693145369688045</v>
      </c>
      <c r="EU141" s="775">
        <f t="shared" ref="EU141:EU204" si="271">IF($R$30&lt;=40,$AF$7/(EO141^0.25)/SQRT((($AV$10+($AE$7/(EO141^0.25))))),IF($R$30&gt;40,$AF$7/(EO141^0.25)/SQRT((($AW$10+($AE$7/(EO141^0.25))))),""))</f>
        <v>1.3982460645606491</v>
      </c>
      <c r="EV141" s="775">
        <f t="shared" ref="EV141:EV204" si="272">IF($R$30&lt;=40,$AF$7/(EP141^0.25)/SQRT((($AV$10+($AE$7/(EP141^0.25))))),IF($R$30&gt;40,$AF$7/(EP141^0.25)/SQRT((($AW$10+($AE$7/(EP141^0.25))))),""))</f>
        <v>2.0367960874465618</v>
      </c>
      <c r="EW141" s="775">
        <f t="shared" ref="EW141:EW204" si="273">EO141*($AB$7+$AC$7)</f>
        <v>2963.785071317101</v>
      </c>
      <c r="EX141" s="775">
        <f t="shared" ref="EX141:EX204" si="274">EW141/$AQ$101</f>
        <v>480.44890464901698</v>
      </c>
      <c r="EY141" s="775">
        <f>$W$7/EO141</f>
        <v>0.47877965704490133</v>
      </c>
      <c r="EZ141" s="775">
        <f t="shared" ref="EZ141:EZ204" si="275">EY141/2.2</f>
        <v>0.21762711683859148</v>
      </c>
      <c r="FA141" s="775">
        <f t="shared" ref="FA141:FA204" si="276">((100*(-0.0126+0.01475*($X$7*((1/EO141)^0.25))))/(1+(-0.0126+0.01475*($X$7*((1/EO141)^0.25)))))</f>
        <v>1.1049749691625852</v>
      </c>
      <c r="FB141" s="775">
        <f t="shared" ref="FB141:FB204" si="277">((100*(-0.0126+0.01475*EV141)/(1+(-0.0126+0.01475*EV141))))</f>
        <v>1.7143708991997413</v>
      </c>
      <c r="FC141" s="775"/>
      <c r="FD141" s="775"/>
      <c r="FE141" s="775"/>
      <c r="FF141" s="775"/>
      <c r="FG141" s="775">
        <f>VLOOKUP(FG143,FL141:FM240,2,FALSE)</f>
        <v>19</v>
      </c>
      <c r="FH141" s="775" t="s">
        <v>1622</v>
      </c>
      <c r="FI141" s="775"/>
      <c r="FJ141" s="775"/>
      <c r="FK141" s="775" t="b">
        <f>IF(FL141&lt;0.2,TRUE,FALSE)</f>
        <v>0</v>
      </c>
      <c r="FL141" s="775">
        <f t="shared" ref="FL141:FL204" si="278">ABS((FO141-FN141))</f>
        <v>8.2693783098329732</v>
      </c>
      <c r="FM141" s="775">
        <v>1</v>
      </c>
      <c r="FN141" s="775">
        <f>FN140-0.5</f>
        <v>49.5</v>
      </c>
      <c r="FO141" s="673">
        <f t="shared" ref="FO141:FO175" si="279">FS141</f>
        <v>41.230621690167027</v>
      </c>
      <c r="FP141" s="673">
        <f t="shared" ref="FP141:FP204" si="280">$DQ$133</f>
        <v>24.403675819467587</v>
      </c>
      <c r="FQ141" s="775" t="b">
        <f t="shared" ref="FQ141:FQ204" si="281">IF(FN141&lt;FP141,TRUE,FALSE)</f>
        <v>0</v>
      </c>
      <c r="FR141" s="673"/>
      <c r="FS141" s="775">
        <f t="shared" ref="FS141:FS204" si="282">GG141</f>
        <v>41.230621690167027</v>
      </c>
      <c r="FT141" s="775">
        <f t="shared" ref="FT141:FT204" si="283">FU141*(2.65*($DN$133/0.03)^0.5-1.35)</f>
        <v>4.7147773242224203E-2</v>
      </c>
      <c r="FU141" s="775">
        <f t="shared" ref="FU141:FU204" si="284">((0.03/(2.2*(10^($AS$11+($AT$11*(LOG((0.03*($AB$8+$AC$8))/FN141))))))))</f>
        <v>5.5540328624850673E-3</v>
      </c>
      <c r="FV141" s="775">
        <f t="shared" ref="FV141:FV204" si="285">($DN$133/(2.2*((0.976*FU141+0.022)^0.625)))</f>
        <v>1.779519534924817</v>
      </c>
      <c r="FW141" s="775">
        <f t="shared" ref="FW141:FW204" si="286">($DN$133/(2.2*((0.956*FU141+0.037)^0.5)))</f>
        <v>0.91386587117377538</v>
      </c>
      <c r="FX141" s="775">
        <f t="shared" ref="FX141:FX204" si="287">$DQ$133*((1/FT141)^0.25)</f>
        <v>52.37088953975065</v>
      </c>
      <c r="FY141" s="775">
        <f t="shared" ref="FY141:FY204" si="288">$DQ$133*((1/FU141)^0.25)</f>
        <v>89.39292251926075</v>
      </c>
      <c r="FZ141" s="775">
        <f t="shared" ref="FZ141:FZ204" si="289">IF($R$50&lt;=40,$AF$8/(FT141^0.25)/SQRT((($AV$11+($AE$8/(FT141^0.25))))),IF($R$50&gt;40,$AF$8/(FT141^0.25)/SQRT((($AW$11+($AE$8/(FT141^0.25))))),""))</f>
        <v>31.770363187295303</v>
      </c>
      <c r="GA141" s="775">
        <f t="shared" ref="GA141:GA204" si="290">IF($R$50&lt;=40,$AF$8/(FU141^0.25)/SQRT((($AV$11+($AE$8/(FU141^0.25))))),IF($R$50&gt;40,$AF$8/(FU141^0.25)/SQRT((($AW$11+($AE$8/(FU141^0.25))))),""))</f>
        <v>48.418061615784517</v>
      </c>
      <c r="GB141" s="775">
        <f t="shared" ref="GB141:GB204" si="291">FT141*($AB$8+$AC$8)</f>
        <v>66.195473632082781</v>
      </c>
      <c r="GC141" s="775">
        <f t="shared" ref="GC141:GC204" si="292">GB141/$AR$101</f>
        <v>2.6955619854638182</v>
      </c>
      <c r="GD141" s="775">
        <f t="shared" ref="GD141:GD204" si="293">$DN$133/FT141</f>
        <v>8.771294593752895</v>
      </c>
      <c r="GE141" s="775">
        <f t="shared" ref="GE141:GE204" si="294">GD141/2.2</f>
        <v>3.9869520880694975</v>
      </c>
      <c r="GF141" s="775">
        <f t="shared" ref="GF141:GF204" si="295">((100*(-0.0126+0.01475*($DQ$133*((1/FT141)^0.25))))/(1+(-0.0126+0.01475*($DQ$133*((1/FT141)^0.25)))))</f>
        <v>43.1776411156969</v>
      </c>
      <c r="GG141" s="775">
        <f t="shared" ref="GG141:GG204" si="296">((100*(-0.0126+0.01475*GA141)/(1+(-0.0126+0.01475*GA141))))</f>
        <v>41.230621690167027</v>
      </c>
    </row>
    <row r="142" spans="70:189">
      <c r="BR142" s="775"/>
      <c r="BS142" s="775"/>
      <c r="BT142" s="775"/>
      <c r="BU142" s="775">
        <f>CB142-CB141</f>
        <v>0.5</v>
      </c>
      <c r="BV142" s="775" t="s">
        <v>1623</v>
      </c>
      <c r="BW142" s="775"/>
      <c r="BX142" s="775"/>
      <c r="BY142" s="775" t="b">
        <f t="shared" ref="BY142:BY205" si="297">IF(BZ142&lt;0.2,TRUE,FALSE)</f>
        <v>0</v>
      </c>
      <c r="BZ142" s="775">
        <f t="shared" si="229"/>
        <v>0.53346468356108678</v>
      </c>
      <c r="CA142" s="775">
        <v>2</v>
      </c>
      <c r="CB142" s="775">
        <f>CB141+0.5</f>
        <v>1</v>
      </c>
      <c r="CC142" s="673">
        <f t="shared" si="230"/>
        <v>1.5334646835610868</v>
      </c>
      <c r="CD142" s="91">
        <f t="shared" si="228"/>
        <v>2</v>
      </c>
      <c r="CE142" s="775" t="b">
        <f t="shared" si="231"/>
        <v>1</v>
      </c>
      <c r="CF142" s="673"/>
      <c r="CG142" s="775">
        <f t="shared" si="232"/>
        <v>1.5334646835610868</v>
      </c>
      <c r="CH142" s="775">
        <f t="shared" si="233"/>
        <v>1.2020631876488561</v>
      </c>
      <c r="CI142" s="775">
        <f t="shared" si="234"/>
        <v>8.039873512807702E-2</v>
      </c>
      <c r="CJ142" s="775">
        <f t="shared" si="235"/>
        <v>2.169597665010524</v>
      </c>
      <c r="CK142" s="775">
        <f t="shared" si="236"/>
        <v>1.5291913787991402</v>
      </c>
      <c r="CL142" s="775">
        <f t="shared" si="237"/>
        <v>1.9100651084805327</v>
      </c>
      <c r="CM142" s="775">
        <f t="shared" si="238"/>
        <v>3.7559317466017981</v>
      </c>
      <c r="CN142" s="775">
        <f t="shared" si="239"/>
        <v>1.5402018910009037</v>
      </c>
      <c r="CO142" s="775">
        <f t="shared" si="240"/>
        <v>2.2316048988676767</v>
      </c>
      <c r="CP142" s="775">
        <f t="shared" si="241"/>
        <v>1502.5789845610702</v>
      </c>
      <c r="CQ142" s="775">
        <f t="shared" si="242"/>
        <v>243.57786071180314</v>
      </c>
      <c r="CR142" s="775">
        <f t="shared" ref="CR142:CR205" si="298">$W$7/CH142</f>
        <v>0.94437631204759254</v>
      </c>
      <c r="CS142" s="775">
        <f t="shared" si="243"/>
        <v>0.42926196002163292</v>
      </c>
      <c r="CT142" s="775">
        <f t="shared" si="244"/>
        <v>1.5334646835610868</v>
      </c>
      <c r="CU142" s="775">
        <f t="shared" si="245"/>
        <v>1.9911643871459765</v>
      </c>
      <c r="CV142" s="775"/>
      <c r="CW142" s="775"/>
      <c r="CX142" s="775"/>
      <c r="CY142" s="775"/>
      <c r="CZ142" s="775">
        <f>DG142-DG141</f>
        <v>-0.5</v>
      </c>
      <c r="DA142" s="775" t="s">
        <v>1623</v>
      </c>
      <c r="DB142" s="775"/>
      <c r="DC142" s="775"/>
      <c r="DD142" s="775" t="b">
        <f t="shared" ref="DD142:DD205" si="299">IF(DE142&lt;0.2,TRUE,FALSE)</f>
        <v>0</v>
      </c>
      <c r="DE142" s="775">
        <f t="shared" ref="DE142:DE204" si="300">ABS((DH142-DG142))</f>
        <v>11.991465605765825</v>
      </c>
      <c r="DF142" s="776">
        <v>3</v>
      </c>
      <c r="DG142" s="775">
        <f t="shared" ref="DG142:DG205" si="301">DG141-0.5</f>
        <v>49</v>
      </c>
      <c r="DH142" s="673">
        <f t="shared" ref="DH142:DH204" si="302">DL142</f>
        <v>37.008534394234175</v>
      </c>
      <c r="DI142" s="673">
        <f t="shared" si="246"/>
        <v>19</v>
      </c>
      <c r="DJ142" s="775" t="b">
        <f t="shared" si="247"/>
        <v>0</v>
      </c>
      <c r="DK142" s="673"/>
      <c r="DL142" s="775">
        <f t="shared" ref="DL142:DL204" si="303">((100*(-0.0126+0.01475*($DG$133*((1/DM142)^0.25))))/(1+(-0.0126+0.01475*($DG$133*((1/DM142)^0.25)))))</f>
        <v>37.008534394234175</v>
      </c>
      <c r="DM142" s="775">
        <f t="shared" ref="DM142:DM204" si="304">DN142*(2.65*($DN$133/0.03)^0.5-1.35)</f>
        <v>4.7559776058849444E-2</v>
      </c>
      <c r="DN142" s="775">
        <f t="shared" ref="DN142:DN204" si="305">((0.03/(2.2*(10^($AS$11+($AT$11*(LOG((0.03*($AB$8+$AC$8))/DG142))))))))</f>
        <v>5.6025670142724028E-3</v>
      </c>
      <c r="DO142" s="775">
        <f t="shared" si="248"/>
        <v>1.7776009021889556</v>
      </c>
      <c r="DP142" s="775">
        <f t="shared" si="249"/>
        <v>0.91336518996688298</v>
      </c>
      <c r="DQ142" s="775">
        <f t="shared" si="250"/>
        <v>40.685874084350274</v>
      </c>
      <c r="DR142" s="775">
        <f t="shared" si="251"/>
        <v>69.447535102304087</v>
      </c>
      <c r="DS142" s="775">
        <f t="shared" si="252"/>
        <v>31.71373716851009</v>
      </c>
      <c r="DT142" s="775">
        <f t="shared" si="253"/>
        <v>48.338587247559197</v>
      </c>
      <c r="DU142" s="775">
        <f t="shared" si="254"/>
        <v>66.773925586624614</v>
      </c>
      <c r="DV142" s="775">
        <f t="shared" si="255"/>
        <v>2.7191172682275098</v>
      </c>
      <c r="DW142" s="775">
        <f t="shared" si="256"/>
        <v>23.868909697878475</v>
      </c>
      <c r="DX142" s="775">
        <f t="shared" si="257"/>
        <v>10.849504408126579</v>
      </c>
      <c r="DY142" s="775">
        <f t="shared" si="258"/>
        <v>37.008534394234175</v>
      </c>
      <c r="DZ142" s="775">
        <f t="shared" si="259"/>
        <v>41.190106246793341</v>
      </c>
      <c r="EA142" s="775"/>
      <c r="EB142" s="775">
        <f>EI142-EI141</f>
        <v>0.5</v>
      </c>
      <c r="EC142" s="775" t="s">
        <v>1623</v>
      </c>
      <c r="ED142" s="775"/>
      <c r="EE142" s="775"/>
      <c r="EF142" s="775" t="b">
        <f t="shared" ref="EF142:EF205" si="306">IF(EG142&lt;0.2,TRUE,FALSE)</f>
        <v>0</v>
      </c>
      <c r="EG142" s="775">
        <f t="shared" si="260"/>
        <v>0.53346468356108678</v>
      </c>
      <c r="EH142" s="775">
        <v>2</v>
      </c>
      <c r="EI142" s="775">
        <f>EI141+0.5</f>
        <v>1</v>
      </c>
      <c r="EJ142" s="673">
        <f t="shared" si="261"/>
        <v>1.5334646835610868</v>
      </c>
      <c r="EK142" s="673">
        <f t="shared" si="262"/>
        <v>2.2510196371999172</v>
      </c>
      <c r="EL142" s="775" t="b">
        <f t="shared" si="263"/>
        <v>1</v>
      </c>
      <c r="EM142" s="673"/>
      <c r="EN142" s="775">
        <f t="shared" si="264"/>
        <v>1.5334646835610868</v>
      </c>
      <c r="EO142" s="775">
        <f t="shared" si="265"/>
        <v>1.2020631876488561</v>
      </c>
      <c r="EP142" s="775">
        <f t="shared" si="266"/>
        <v>8.039873512807702E-2</v>
      </c>
      <c r="EQ142" s="775">
        <f t="shared" si="267"/>
        <v>2.169597665010524</v>
      </c>
      <c r="ER142" s="775">
        <f t="shared" si="268"/>
        <v>1.5291913787991402</v>
      </c>
      <c r="ES142" s="775">
        <f t="shared" si="269"/>
        <v>1.9100651084805327</v>
      </c>
      <c r="ET142" s="775">
        <f t="shared" si="270"/>
        <v>3.7559317466017981</v>
      </c>
      <c r="EU142" s="775">
        <f t="shared" si="271"/>
        <v>1.5402018910009037</v>
      </c>
      <c r="EV142" s="775">
        <f t="shared" si="272"/>
        <v>2.2316048988676767</v>
      </c>
      <c r="EW142" s="775">
        <f t="shared" si="273"/>
        <v>1502.5789845610702</v>
      </c>
      <c r="EX142" s="775">
        <f t="shared" si="274"/>
        <v>243.57786071180314</v>
      </c>
      <c r="EY142" s="775">
        <f t="shared" ref="EY142:EY205" si="307">$W$7/EO142</f>
        <v>0.94437631204759254</v>
      </c>
      <c r="EZ142" s="775">
        <f t="shared" si="275"/>
        <v>0.42926196002163292</v>
      </c>
      <c r="FA142" s="775">
        <f t="shared" si="276"/>
        <v>1.5334646835610868</v>
      </c>
      <c r="FB142" s="775">
        <f t="shared" si="277"/>
        <v>1.9911643871459765</v>
      </c>
      <c r="FC142" s="775"/>
      <c r="FD142" s="775"/>
      <c r="FE142" s="775"/>
      <c r="FF142" s="775"/>
      <c r="FG142" s="775">
        <f>FN142-FN141</f>
        <v>-0.5</v>
      </c>
      <c r="FH142" s="775" t="s">
        <v>1623</v>
      </c>
      <c r="FI142" s="775"/>
      <c r="FJ142" s="775"/>
      <c r="FK142" s="775" t="b">
        <f t="shared" ref="FK142:FK205" si="308">IF(FL142&lt;0.2,TRUE,FALSE)</f>
        <v>0</v>
      </c>
      <c r="FL142" s="775">
        <f t="shared" si="278"/>
        <v>7.8098937532066586</v>
      </c>
      <c r="FM142" s="775">
        <v>2</v>
      </c>
      <c r="FN142" s="775">
        <f t="shared" ref="FN142:FN205" si="309">FN141-0.5</f>
        <v>49</v>
      </c>
      <c r="FO142" s="673">
        <f t="shared" si="279"/>
        <v>41.190106246793341</v>
      </c>
      <c r="FP142" s="673">
        <f t="shared" si="280"/>
        <v>24.403675819467587</v>
      </c>
      <c r="FQ142" s="775" t="b">
        <f t="shared" si="281"/>
        <v>0</v>
      </c>
      <c r="FR142" s="673"/>
      <c r="FS142" s="775">
        <f t="shared" si="282"/>
        <v>41.190106246793341</v>
      </c>
      <c r="FT142" s="775">
        <f t="shared" si="283"/>
        <v>4.7559776058849444E-2</v>
      </c>
      <c r="FU142" s="775">
        <f t="shared" si="284"/>
        <v>5.6025670142724028E-3</v>
      </c>
      <c r="FV142" s="775">
        <f t="shared" si="285"/>
        <v>1.7776009021889556</v>
      </c>
      <c r="FW142" s="775">
        <f t="shared" si="286"/>
        <v>0.91336518996688298</v>
      </c>
      <c r="FX142" s="775">
        <f t="shared" si="287"/>
        <v>52.257099030850618</v>
      </c>
      <c r="FY142" s="775">
        <f t="shared" si="288"/>
        <v>89.198691215669726</v>
      </c>
      <c r="FZ142" s="775">
        <f t="shared" si="289"/>
        <v>31.71373716851009</v>
      </c>
      <c r="GA142" s="775">
        <f t="shared" si="290"/>
        <v>48.338587247559197</v>
      </c>
      <c r="GB142" s="775">
        <f t="shared" si="291"/>
        <v>66.773925586624614</v>
      </c>
      <c r="GC142" s="775">
        <f t="shared" si="292"/>
        <v>2.7191172682275098</v>
      </c>
      <c r="GD142" s="775">
        <f t="shared" si="293"/>
        <v>8.6953102561983133</v>
      </c>
      <c r="GE142" s="775">
        <f t="shared" si="294"/>
        <v>3.952413752817415</v>
      </c>
      <c r="GF142" s="775">
        <f t="shared" si="295"/>
        <v>43.12339720814748</v>
      </c>
      <c r="GG142" s="775">
        <f t="shared" si="296"/>
        <v>41.190106246793341</v>
      </c>
    </row>
    <row r="143" spans="70:189">
      <c r="BR143" s="775"/>
      <c r="BS143" s="775"/>
      <c r="BT143" s="775"/>
      <c r="BU143" s="775">
        <f>VLOOKUP(TRUE,BY141:CW240,2,FALSE)</f>
        <v>3.6481703304890978E-2</v>
      </c>
      <c r="BV143" s="775" t="s">
        <v>1624</v>
      </c>
      <c r="BW143" s="775"/>
      <c r="BX143" s="775"/>
      <c r="BY143" s="775" t="b">
        <f t="shared" si="297"/>
        <v>0</v>
      </c>
      <c r="BZ143" s="775">
        <f t="shared" si="229"/>
        <v>0.31793066499004086</v>
      </c>
      <c r="CA143" s="775">
        <v>3</v>
      </c>
      <c r="CB143" s="775">
        <f t="shared" ref="CB143:CB206" si="310">CB142+0.5</f>
        <v>1.5</v>
      </c>
      <c r="CC143" s="673">
        <f t="shared" si="230"/>
        <v>1.8179306649900409</v>
      </c>
      <c r="CD143" s="91">
        <f t="shared" si="228"/>
        <v>2</v>
      </c>
      <c r="CE143" s="775" t="b">
        <f t="shared" si="231"/>
        <v>1</v>
      </c>
      <c r="CF143" s="673"/>
      <c r="CG143" s="775">
        <f t="shared" si="232"/>
        <v>1.8179306649900409</v>
      </c>
      <c r="CH143" s="775">
        <f t="shared" si="233"/>
        <v>0.80790047507866392</v>
      </c>
      <c r="CI143" s="775">
        <f t="shared" si="234"/>
        <v>5.4035575644523735E-2</v>
      </c>
      <c r="CJ143" s="775">
        <f t="shared" si="235"/>
        <v>2.6102593504769254</v>
      </c>
      <c r="CK143" s="775">
        <f t="shared" si="236"/>
        <v>1.7329686703982894</v>
      </c>
      <c r="CL143" s="775">
        <f t="shared" si="237"/>
        <v>2.1095534313404274</v>
      </c>
      <c r="CM143" s="775">
        <f t="shared" si="238"/>
        <v>4.1482034663348877</v>
      </c>
      <c r="CN143" s="775">
        <f t="shared" si="239"/>
        <v>1.6285866445511898</v>
      </c>
      <c r="CO143" s="775">
        <f t="shared" si="240"/>
        <v>2.3530422372169237</v>
      </c>
      <c r="CP143" s="775">
        <f t="shared" si="241"/>
        <v>1009.8755938483299</v>
      </c>
      <c r="CQ143" s="775">
        <f t="shared" si="242"/>
        <v>163.70742520832877</v>
      </c>
      <c r="CR143" s="775">
        <f t="shared" si="298"/>
        <v>1.4051235703128748</v>
      </c>
      <c r="CS143" s="775">
        <f t="shared" si="243"/>
        <v>0.63869253196039755</v>
      </c>
      <c r="CT143" s="775">
        <f t="shared" si="244"/>
        <v>1.8179306649900409</v>
      </c>
      <c r="CU143" s="775">
        <f t="shared" si="245"/>
        <v>2.1629208029372413</v>
      </c>
      <c r="CV143" s="775"/>
      <c r="CW143" s="775"/>
      <c r="CX143" s="775"/>
      <c r="CY143" s="775"/>
      <c r="CZ143" s="775">
        <f>VLOOKUP(TRUE,DD141:EB240,2,FALSE)</f>
        <v>0.1213240914105711</v>
      </c>
      <c r="DA143" s="775" t="s">
        <v>1624</v>
      </c>
      <c r="DB143" s="775"/>
      <c r="DC143" s="775"/>
      <c r="DD143" s="775" t="b">
        <f t="shared" si="299"/>
        <v>0</v>
      </c>
      <c r="DE143" s="775">
        <f t="shared" si="300"/>
        <v>11.543777753584649</v>
      </c>
      <c r="DF143" s="776">
        <v>4</v>
      </c>
      <c r="DG143" s="775">
        <f t="shared" si="301"/>
        <v>48.5</v>
      </c>
      <c r="DH143" s="673">
        <f t="shared" si="302"/>
        <v>36.956222246415351</v>
      </c>
      <c r="DI143" s="673">
        <f t="shared" si="246"/>
        <v>19</v>
      </c>
      <c r="DJ143" s="775" t="b">
        <f t="shared" si="247"/>
        <v>0</v>
      </c>
      <c r="DK143" s="673"/>
      <c r="DL143" s="775">
        <f t="shared" si="303"/>
        <v>36.956222246415351</v>
      </c>
      <c r="DM143" s="775">
        <f t="shared" si="304"/>
        <v>4.7979660611810693E-2</v>
      </c>
      <c r="DN143" s="775">
        <f t="shared" si="305"/>
        <v>5.6520296388085731E-3</v>
      </c>
      <c r="DO143" s="775">
        <f t="shared" si="248"/>
        <v>1.775651089485129</v>
      </c>
      <c r="DP143" s="775">
        <f t="shared" si="249"/>
        <v>0.91285577633020387</v>
      </c>
      <c r="DQ143" s="775">
        <f t="shared" si="250"/>
        <v>40.596566860618275</v>
      </c>
      <c r="DR143" s="775">
        <f t="shared" si="251"/>
        <v>69.295094809583347</v>
      </c>
      <c r="DS143" s="775">
        <f t="shared" si="252"/>
        <v>31.656615336170329</v>
      </c>
      <c r="DT143" s="775">
        <f t="shared" si="253"/>
        <v>48.258401239752203</v>
      </c>
      <c r="DU143" s="775">
        <f t="shared" si="254"/>
        <v>67.363443498982207</v>
      </c>
      <c r="DV143" s="775">
        <f t="shared" si="255"/>
        <v>2.743123170551486</v>
      </c>
      <c r="DW143" s="775">
        <f t="shared" si="256"/>
        <v>23.660025634290516</v>
      </c>
      <c r="DX143" s="775">
        <f t="shared" si="257"/>
        <v>10.754557106495689</v>
      </c>
      <c r="DY143" s="775">
        <f t="shared" si="258"/>
        <v>36.956222246415351</v>
      </c>
      <c r="DZ143" s="775">
        <f t="shared" si="259"/>
        <v>41.149171360412574</v>
      </c>
      <c r="EA143" s="775"/>
      <c r="EB143" s="775">
        <f>VLOOKUP(TRUE,EF141:FD240,2,FALSE)</f>
        <v>3.6481703304890978E-2</v>
      </c>
      <c r="EC143" s="775" t="s">
        <v>1624</v>
      </c>
      <c r="ED143" s="775"/>
      <c r="EE143" s="775"/>
      <c r="EF143" s="775" t="b">
        <f t="shared" si="306"/>
        <v>0</v>
      </c>
      <c r="EG143" s="775">
        <f t="shared" si="260"/>
        <v>0.31793066499004086</v>
      </c>
      <c r="EH143" s="775">
        <v>3</v>
      </c>
      <c r="EI143" s="775">
        <f t="shared" ref="EI143:EI206" si="311">EI142+0.5</f>
        <v>1.5</v>
      </c>
      <c r="EJ143" s="673">
        <f t="shared" si="261"/>
        <v>1.8179306649900409</v>
      </c>
      <c r="EK143" s="673">
        <f t="shared" si="262"/>
        <v>2.2510196371999172</v>
      </c>
      <c r="EL143" s="775" t="b">
        <f t="shared" si="263"/>
        <v>1</v>
      </c>
      <c r="EM143" s="673"/>
      <c r="EN143" s="775">
        <f t="shared" si="264"/>
        <v>1.8179306649900409</v>
      </c>
      <c r="EO143" s="775">
        <f t="shared" si="265"/>
        <v>0.80790047507866392</v>
      </c>
      <c r="EP143" s="775">
        <f t="shared" si="266"/>
        <v>5.4035575644523735E-2</v>
      </c>
      <c r="EQ143" s="775">
        <f t="shared" si="267"/>
        <v>2.6102593504769254</v>
      </c>
      <c r="ER143" s="775">
        <f t="shared" si="268"/>
        <v>1.7329686703982894</v>
      </c>
      <c r="ES143" s="775">
        <f t="shared" si="269"/>
        <v>2.1095534313404274</v>
      </c>
      <c r="ET143" s="775">
        <f t="shared" si="270"/>
        <v>4.1482034663348877</v>
      </c>
      <c r="EU143" s="775">
        <f t="shared" si="271"/>
        <v>1.6285866445511898</v>
      </c>
      <c r="EV143" s="775">
        <f t="shared" si="272"/>
        <v>2.3530422372169237</v>
      </c>
      <c r="EW143" s="775">
        <f t="shared" si="273"/>
        <v>1009.8755938483299</v>
      </c>
      <c r="EX143" s="775">
        <f t="shared" si="274"/>
        <v>163.70742520832877</v>
      </c>
      <c r="EY143" s="775">
        <f t="shared" si="307"/>
        <v>1.4051235703128748</v>
      </c>
      <c r="EZ143" s="775">
        <f t="shared" si="275"/>
        <v>0.63869253196039755</v>
      </c>
      <c r="FA143" s="775">
        <f t="shared" si="276"/>
        <v>1.8179306649900409</v>
      </c>
      <c r="FB143" s="775">
        <f t="shared" si="277"/>
        <v>2.1629208029372413</v>
      </c>
      <c r="FC143" s="775"/>
      <c r="FD143" s="775"/>
      <c r="FE143" s="775"/>
      <c r="FF143" s="775"/>
      <c r="FG143" s="775">
        <f>VLOOKUP(TRUE,FK141:GI240,2,FALSE)</f>
        <v>7.0843959691771374E-2</v>
      </c>
      <c r="FH143" s="775" t="s">
        <v>1624</v>
      </c>
      <c r="FI143" s="775"/>
      <c r="FJ143" s="775"/>
      <c r="FK143" s="775" t="b">
        <f t="shared" si="308"/>
        <v>0</v>
      </c>
      <c r="FL143" s="775">
        <f t="shared" si="278"/>
        <v>7.3508286395874265</v>
      </c>
      <c r="FM143" s="775">
        <v>3</v>
      </c>
      <c r="FN143" s="775">
        <f t="shared" si="309"/>
        <v>48.5</v>
      </c>
      <c r="FO143" s="673">
        <f t="shared" si="279"/>
        <v>41.149171360412574</v>
      </c>
      <c r="FP143" s="673">
        <f t="shared" si="280"/>
        <v>24.403675819467587</v>
      </c>
      <c r="FQ143" s="775" t="b">
        <f t="shared" si="281"/>
        <v>0</v>
      </c>
      <c r="FR143" s="673"/>
      <c r="FS143" s="775">
        <f t="shared" si="282"/>
        <v>41.149171360412574</v>
      </c>
      <c r="FT143" s="775">
        <f t="shared" si="283"/>
        <v>4.7979660611810693E-2</v>
      </c>
      <c r="FU143" s="775">
        <f t="shared" si="284"/>
        <v>5.6520296388085731E-3</v>
      </c>
      <c r="FV143" s="775">
        <f t="shared" si="285"/>
        <v>1.775651089485129</v>
      </c>
      <c r="FW143" s="775">
        <f t="shared" si="286"/>
        <v>0.91285577633020387</v>
      </c>
      <c r="FX143" s="775">
        <f t="shared" si="287"/>
        <v>52.142392476308913</v>
      </c>
      <c r="FY143" s="775">
        <f t="shared" si="288"/>
        <v>89.002896295386478</v>
      </c>
      <c r="FZ143" s="775">
        <f t="shared" si="289"/>
        <v>31.656615336170329</v>
      </c>
      <c r="GA143" s="775">
        <f t="shared" si="290"/>
        <v>48.258401239752203</v>
      </c>
      <c r="GB143" s="775">
        <f t="shared" si="291"/>
        <v>67.363443498982207</v>
      </c>
      <c r="GC143" s="775">
        <f t="shared" si="292"/>
        <v>2.743123170551486</v>
      </c>
      <c r="GD143" s="775">
        <f t="shared" si="293"/>
        <v>8.6192149605412105</v>
      </c>
      <c r="GE143" s="775">
        <f t="shared" si="294"/>
        <v>3.9178249820641864</v>
      </c>
      <c r="GF143" s="775">
        <f t="shared" si="295"/>
        <v>43.068611702035966</v>
      </c>
      <c r="GG143" s="775">
        <f t="shared" si="296"/>
        <v>41.149171360412574</v>
      </c>
    </row>
    <row r="144" spans="70:189">
      <c r="BR144" s="775"/>
      <c r="BS144" s="775"/>
      <c r="BT144" s="775"/>
      <c r="BU144" s="775">
        <f>VLOOKUP(TRUE,BY141:CW240,12,FALSE)</f>
        <v>2.940084125781683</v>
      </c>
      <c r="BV144" s="775" t="s">
        <v>1630</v>
      </c>
      <c r="BW144" s="775"/>
      <c r="BX144" s="775"/>
      <c r="BY144" s="775" t="b">
        <f t="shared" si="297"/>
        <v>1</v>
      </c>
      <c r="BZ144" s="775">
        <f t="shared" si="229"/>
        <v>3.6481703304890978E-2</v>
      </c>
      <c r="CA144" s="775">
        <v>4</v>
      </c>
      <c r="CB144" s="775">
        <f t="shared" si="310"/>
        <v>2</v>
      </c>
      <c r="CC144" s="673">
        <f t="shared" si="230"/>
        <v>2.036481703304891</v>
      </c>
      <c r="CD144" s="91">
        <f t="shared" si="228"/>
        <v>2</v>
      </c>
      <c r="CE144" s="775" t="b">
        <f t="shared" si="231"/>
        <v>0</v>
      </c>
      <c r="CF144" s="673"/>
      <c r="CG144" s="775">
        <f t="shared" si="232"/>
        <v>2.036481703304891</v>
      </c>
      <c r="CH144" s="775">
        <f t="shared" si="233"/>
        <v>0.6094216822115891</v>
      </c>
      <c r="CI144" s="775">
        <f t="shared" si="234"/>
        <v>4.0760529823120652E-2</v>
      </c>
      <c r="CJ144" s="775">
        <f t="shared" si="235"/>
        <v>2.940084125781683</v>
      </c>
      <c r="CK144" s="775">
        <f t="shared" si="236"/>
        <v>1.8721344002754694</v>
      </c>
      <c r="CL144" s="775">
        <f t="shared" si="237"/>
        <v>2.263604352088028</v>
      </c>
      <c r="CM144" s="775">
        <f t="shared" si="238"/>
        <v>4.4511275610477812</v>
      </c>
      <c r="CN144" s="775">
        <f t="shared" si="239"/>
        <v>1.6938237937032092</v>
      </c>
      <c r="CO144" s="775">
        <f t="shared" si="240"/>
        <v>2.4427500521198131</v>
      </c>
      <c r="CP144" s="775">
        <f t="shared" si="241"/>
        <v>761.77710276448636</v>
      </c>
      <c r="CQ144" s="775">
        <f t="shared" si="242"/>
        <v>123.48904046785402</v>
      </c>
      <c r="CR144" s="775">
        <f t="shared" si="298"/>
        <v>1.8627496085803237</v>
      </c>
      <c r="CS144" s="775">
        <f t="shared" si="243"/>
        <v>0.84670436753651068</v>
      </c>
      <c r="CT144" s="775">
        <f t="shared" si="244"/>
        <v>2.036481703304891</v>
      </c>
      <c r="CU144" s="775">
        <f t="shared" si="245"/>
        <v>2.2894140657605164</v>
      </c>
      <c r="CV144" s="775"/>
      <c r="CW144" s="775"/>
      <c r="CX144" s="775"/>
      <c r="CY144" s="775"/>
      <c r="CZ144" s="775">
        <f>VLOOKUP(TRUE,DD141:EB240,12,FALSE)</f>
        <v>1.710674995054096</v>
      </c>
      <c r="DA144" s="775" t="s">
        <v>1630</v>
      </c>
      <c r="DB144" s="775"/>
      <c r="DC144" s="775"/>
      <c r="DD144" s="775" t="b">
        <f t="shared" si="299"/>
        <v>0</v>
      </c>
      <c r="DE144" s="775">
        <f t="shared" si="300"/>
        <v>11.096603411608854</v>
      </c>
      <c r="DF144" s="776">
        <v>5</v>
      </c>
      <c r="DG144" s="775">
        <f t="shared" si="301"/>
        <v>48</v>
      </c>
      <c r="DH144" s="673">
        <f t="shared" si="302"/>
        <v>36.903396588391146</v>
      </c>
      <c r="DI144" s="673">
        <f t="shared" si="246"/>
        <v>19</v>
      </c>
      <c r="DJ144" s="775" t="b">
        <f t="shared" si="247"/>
        <v>0</v>
      </c>
      <c r="DK144" s="673"/>
      <c r="DL144" s="775">
        <f t="shared" si="303"/>
        <v>36.903396588391146</v>
      </c>
      <c r="DM144" s="775">
        <f t="shared" si="304"/>
        <v>4.8407661291444457E-2</v>
      </c>
      <c r="DN144" s="775">
        <f t="shared" si="305"/>
        <v>5.7024483474003712E-3</v>
      </c>
      <c r="DO144" s="775">
        <f t="shared" si="248"/>
        <v>1.7736693007354944</v>
      </c>
      <c r="DP144" s="775">
        <f t="shared" si="249"/>
        <v>0.91233739225042321</v>
      </c>
      <c r="DQ144" s="775">
        <f t="shared" si="250"/>
        <v>40.506533246319947</v>
      </c>
      <c r="DR144" s="775">
        <f t="shared" si="251"/>
        <v>69.141414626225185</v>
      </c>
      <c r="DS144" s="775">
        <f t="shared" si="252"/>
        <v>31.598988218477874</v>
      </c>
      <c r="DT144" s="775">
        <f t="shared" si="253"/>
        <v>48.177489845409809</v>
      </c>
      <c r="DU144" s="775">
        <f t="shared" si="254"/>
        <v>67.964356453188017</v>
      </c>
      <c r="DV144" s="775">
        <f t="shared" si="255"/>
        <v>2.7675930931466901</v>
      </c>
      <c r="DW144" s="775">
        <f t="shared" si="256"/>
        <v>23.450833395263295</v>
      </c>
      <c r="DX144" s="775">
        <f t="shared" si="257"/>
        <v>10.659469725119679</v>
      </c>
      <c r="DY144" s="775">
        <f t="shared" si="258"/>
        <v>36.903396588391146</v>
      </c>
      <c r="DZ144" s="775">
        <f t="shared" si="259"/>
        <v>41.107808362832074</v>
      </c>
      <c r="EA144" s="775"/>
      <c r="EB144" s="775">
        <f>VLOOKUP(TRUE,EF141:FD240,12,FALSE)</f>
        <v>2.940084125781683</v>
      </c>
      <c r="EC144" s="775" t="s">
        <v>1630</v>
      </c>
      <c r="ED144" s="775"/>
      <c r="EE144" s="775"/>
      <c r="EF144" s="775" t="b">
        <f t="shared" si="306"/>
        <v>1</v>
      </c>
      <c r="EG144" s="775">
        <f t="shared" si="260"/>
        <v>3.6481703304890978E-2</v>
      </c>
      <c r="EH144" s="775">
        <v>4</v>
      </c>
      <c r="EI144" s="775">
        <f t="shared" si="311"/>
        <v>2</v>
      </c>
      <c r="EJ144" s="673">
        <f t="shared" si="261"/>
        <v>2.036481703304891</v>
      </c>
      <c r="EK144" s="673">
        <f t="shared" si="262"/>
        <v>2.2510196371999172</v>
      </c>
      <c r="EL144" s="775" t="b">
        <f t="shared" si="263"/>
        <v>1</v>
      </c>
      <c r="EM144" s="673"/>
      <c r="EN144" s="775">
        <f t="shared" si="264"/>
        <v>2.036481703304891</v>
      </c>
      <c r="EO144" s="775">
        <f t="shared" si="265"/>
        <v>0.6094216822115891</v>
      </c>
      <c r="EP144" s="775">
        <f t="shared" si="266"/>
        <v>4.0760529823120652E-2</v>
      </c>
      <c r="EQ144" s="775">
        <f t="shared" si="267"/>
        <v>2.940084125781683</v>
      </c>
      <c r="ER144" s="775">
        <f t="shared" si="268"/>
        <v>1.8721344002754694</v>
      </c>
      <c r="ES144" s="775">
        <f t="shared" si="269"/>
        <v>2.263604352088028</v>
      </c>
      <c r="ET144" s="775">
        <f t="shared" si="270"/>
        <v>4.4511275610477812</v>
      </c>
      <c r="EU144" s="775">
        <f t="shared" si="271"/>
        <v>1.6938237937032092</v>
      </c>
      <c r="EV144" s="775">
        <f t="shared" si="272"/>
        <v>2.4427500521198131</v>
      </c>
      <c r="EW144" s="775">
        <f t="shared" si="273"/>
        <v>761.77710276448636</v>
      </c>
      <c r="EX144" s="775">
        <f t="shared" si="274"/>
        <v>123.48904046785402</v>
      </c>
      <c r="EY144" s="775">
        <f t="shared" si="307"/>
        <v>1.8627496085803237</v>
      </c>
      <c r="EZ144" s="775">
        <f t="shared" si="275"/>
        <v>0.84670436753651068</v>
      </c>
      <c r="FA144" s="775">
        <f t="shared" si="276"/>
        <v>2.036481703304891</v>
      </c>
      <c r="FB144" s="775">
        <f t="shared" si="277"/>
        <v>2.2894140657605164</v>
      </c>
      <c r="FC144" s="775"/>
      <c r="FD144" s="775"/>
      <c r="FE144" s="775"/>
      <c r="FF144" s="775"/>
      <c r="FG144" s="775">
        <f>VLOOKUP(TRUE,FK141:GI240,12,FALSE)</f>
        <v>1.7394662444255247</v>
      </c>
      <c r="FH144" s="775" t="s">
        <v>1630</v>
      </c>
      <c r="FI144" s="775"/>
      <c r="FJ144" s="775"/>
      <c r="FK144" s="775" t="b">
        <f t="shared" si="308"/>
        <v>0</v>
      </c>
      <c r="FL144" s="775">
        <f t="shared" si="278"/>
        <v>6.8921916371679259</v>
      </c>
      <c r="FM144" s="775">
        <v>4</v>
      </c>
      <c r="FN144" s="775">
        <f t="shared" si="309"/>
        <v>48</v>
      </c>
      <c r="FO144" s="673">
        <f t="shared" si="279"/>
        <v>41.107808362832074</v>
      </c>
      <c r="FP144" s="673">
        <f t="shared" si="280"/>
        <v>24.403675819467587</v>
      </c>
      <c r="FQ144" s="775" t="b">
        <f t="shared" si="281"/>
        <v>0</v>
      </c>
      <c r="FR144" s="673"/>
      <c r="FS144" s="775">
        <f t="shared" si="282"/>
        <v>41.107808362832074</v>
      </c>
      <c r="FT144" s="775">
        <f t="shared" si="283"/>
        <v>4.8407661291444457E-2</v>
      </c>
      <c r="FU144" s="775">
        <f t="shared" si="284"/>
        <v>5.7024483474003712E-3</v>
      </c>
      <c r="FV144" s="775">
        <f t="shared" si="285"/>
        <v>1.7736693007354944</v>
      </c>
      <c r="FW144" s="775">
        <f t="shared" si="286"/>
        <v>0.91233739225042321</v>
      </c>
      <c r="FX144" s="775">
        <f t="shared" si="287"/>
        <v>52.026752942825162</v>
      </c>
      <c r="FY144" s="775">
        <f t="shared" si="288"/>
        <v>88.80550885462074</v>
      </c>
      <c r="FZ144" s="775">
        <f t="shared" si="289"/>
        <v>31.598988218477874</v>
      </c>
      <c r="GA144" s="775">
        <f t="shared" si="290"/>
        <v>48.177489845409809</v>
      </c>
      <c r="GB144" s="775">
        <f t="shared" si="291"/>
        <v>67.964356453188017</v>
      </c>
      <c r="GC144" s="775">
        <f t="shared" si="292"/>
        <v>2.7675930931466901</v>
      </c>
      <c r="GD144" s="775">
        <f t="shared" si="293"/>
        <v>8.5430073982958277</v>
      </c>
      <c r="GE144" s="775">
        <f t="shared" si="294"/>
        <v>3.8831851810435576</v>
      </c>
      <c r="GF144" s="775">
        <f t="shared" si="295"/>
        <v>43.013273654136981</v>
      </c>
      <c r="GG144" s="775">
        <f t="shared" si="296"/>
        <v>41.107808362832074</v>
      </c>
    </row>
    <row r="145" spans="70:189" ht="15.5">
      <c r="BR145" s="775"/>
      <c r="BS145" s="775"/>
      <c r="BT145" s="775"/>
      <c r="BU145" s="775">
        <f>VLOOKUP(TRUE,BY141:CW240,13,FALSE)</f>
        <v>1.8721344002754694</v>
      </c>
      <c r="BV145" s="1056" t="s">
        <v>915</v>
      </c>
      <c r="BW145" s="1057"/>
      <c r="BX145" s="1058"/>
      <c r="BY145" s="775" t="b">
        <f t="shared" si="297"/>
        <v>0</v>
      </c>
      <c r="BZ145" s="775">
        <f t="shared" si="229"/>
        <v>0.28379689537320152</v>
      </c>
      <c r="CA145" s="775">
        <v>5</v>
      </c>
      <c r="CB145" s="775">
        <f t="shared" si="310"/>
        <v>2.5</v>
      </c>
      <c r="CC145" s="673">
        <f t="shared" si="230"/>
        <v>2.2162031046267985</v>
      </c>
      <c r="CD145" s="91">
        <f t="shared" si="228"/>
        <v>2</v>
      </c>
      <c r="CE145" s="775" t="b">
        <f t="shared" si="231"/>
        <v>0</v>
      </c>
      <c r="CF145" s="673"/>
      <c r="CG145" s="775">
        <f t="shared" si="232"/>
        <v>2.2162031046267985</v>
      </c>
      <c r="CH145" s="775">
        <f t="shared" si="233"/>
        <v>0.48971802448845358</v>
      </c>
      <c r="CI145" s="775">
        <f t="shared" si="234"/>
        <v>3.2754276266709681E-2</v>
      </c>
      <c r="CJ145" s="775">
        <f t="shared" si="235"/>
        <v>3.1993637952200089</v>
      </c>
      <c r="CK145" s="775">
        <f t="shared" si="236"/>
        <v>1.9742299793935443</v>
      </c>
      <c r="CL145" s="775">
        <f t="shared" si="237"/>
        <v>2.3908012456751604</v>
      </c>
      <c r="CM145" s="775">
        <f t="shared" si="238"/>
        <v>4.7012461819114906</v>
      </c>
      <c r="CN145" s="775">
        <f t="shared" si="239"/>
        <v>1.7459240797561748</v>
      </c>
      <c r="CO145" s="775">
        <f t="shared" si="240"/>
        <v>2.5144388717729145</v>
      </c>
      <c r="CP145" s="775">
        <f t="shared" si="241"/>
        <v>612.14753061056695</v>
      </c>
      <c r="CQ145" s="775">
        <f t="shared" si="242"/>
        <v>99.233110191336323</v>
      </c>
      <c r="CR145" s="775">
        <f t="shared" si="298"/>
        <v>2.3180686501906882</v>
      </c>
      <c r="CS145" s="775">
        <f t="shared" si="243"/>
        <v>1.0536675682684946</v>
      </c>
      <c r="CT145" s="775">
        <f t="shared" si="244"/>
        <v>2.2162031046267985</v>
      </c>
      <c r="CU145" s="775">
        <f t="shared" si="245"/>
        <v>2.3902646000196421</v>
      </c>
      <c r="CV145" s="775"/>
      <c r="CW145" s="775"/>
      <c r="CX145" s="775"/>
      <c r="CY145" s="775"/>
      <c r="CZ145" s="775">
        <f>VLOOKUP(TRUE,DD141:EB240,13,FALSE)</f>
        <v>0.89553084677843908</v>
      </c>
      <c r="DA145" s="1056" t="s">
        <v>915</v>
      </c>
      <c r="DB145" s="1057"/>
      <c r="DC145" s="1058"/>
      <c r="DD145" s="775" t="b">
        <f t="shared" si="299"/>
        <v>0</v>
      </c>
      <c r="DE145" s="775">
        <f t="shared" si="300"/>
        <v>10.649952924935043</v>
      </c>
      <c r="DF145" s="776">
        <v>6</v>
      </c>
      <c r="DG145" s="775">
        <f t="shared" si="301"/>
        <v>47.5</v>
      </c>
      <c r="DH145" s="673">
        <f t="shared" si="302"/>
        <v>36.850047075064957</v>
      </c>
      <c r="DI145" s="673">
        <f t="shared" si="246"/>
        <v>19</v>
      </c>
      <c r="DJ145" s="775" t="b">
        <f t="shared" si="247"/>
        <v>0</v>
      </c>
      <c r="DK145" s="673"/>
      <c r="DL145" s="775">
        <f t="shared" si="303"/>
        <v>36.850047075064957</v>
      </c>
      <c r="DM145" s="775">
        <f t="shared" si="304"/>
        <v>4.8844021997237752E-2</v>
      </c>
      <c r="DN145" s="775">
        <f t="shared" si="305"/>
        <v>5.7538518715375972E-3</v>
      </c>
      <c r="DO145" s="775">
        <f t="shared" si="248"/>
        <v>1.7716547119077084</v>
      </c>
      <c r="DP145" s="775">
        <f t="shared" si="249"/>
        <v>0.91180979082956781</v>
      </c>
      <c r="DQ145" s="775">
        <f t="shared" si="250"/>
        <v>40.415759673516845</v>
      </c>
      <c r="DR145" s="775">
        <f t="shared" si="251"/>
        <v>68.9864713928431</v>
      </c>
      <c r="DS145" s="775">
        <f t="shared" si="252"/>
        <v>31.540846062134143</v>
      </c>
      <c r="DT145" s="775">
        <f t="shared" si="253"/>
        <v>48.095838906023808</v>
      </c>
      <c r="DU145" s="775">
        <f t="shared" si="254"/>
        <v>68.577006884121801</v>
      </c>
      <c r="DV145" s="775">
        <f t="shared" si="255"/>
        <v>2.7925409803871664</v>
      </c>
      <c r="DW145" s="775">
        <f t="shared" si="256"/>
        <v>23.241329308716598</v>
      </c>
      <c r="DX145" s="775">
        <f t="shared" si="257"/>
        <v>10.56424059487118</v>
      </c>
      <c r="DY145" s="775">
        <f t="shared" si="258"/>
        <v>36.850047075064957</v>
      </c>
      <c r="DZ145" s="775">
        <f t="shared" si="259"/>
        <v>41.066008314874423</v>
      </c>
      <c r="EA145" s="775"/>
      <c r="EB145" s="775">
        <f>VLOOKUP(TRUE,EF141:FD240,13,FALSE)</f>
        <v>1.8721344002754694</v>
      </c>
      <c r="EC145" s="1056" t="s">
        <v>915</v>
      </c>
      <c r="ED145" s="1057"/>
      <c r="EE145" s="1058"/>
      <c r="EF145" s="775" t="b">
        <f t="shared" si="306"/>
        <v>0</v>
      </c>
      <c r="EG145" s="775">
        <f t="shared" si="260"/>
        <v>0.28379689537320152</v>
      </c>
      <c r="EH145" s="775">
        <v>5</v>
      </c>
      <c r="EI145" s="775">
        <f t="shared" si="311"/>
        <v>2.5</v>
      </c>
      <c r="EJ145" s="673">
        <f t="shared" si="261"/>
        <v>2.2162031046267985</v>
      </c>
      <c r="EK145" s="673">
        <f t="shared" si="262"/>
        <v>2.2510196371999172</v>
      </c>
      <c r="EL145" s="775" t="b">
        <f t="shared" si="263"/>
        <v>0</v>
      </c>
      <c r="EM145" s="673"/>
      <c r="EN145" s="775">
        <f t="shared" si="264"/>
        <v>2.2162031046267985</v>
      </c>
      <c r="EO145" s="775">
        <f t="shared" si="265"/>
        <v>0.48971802448845358</v>
      </c>
      <c r="EP145" s="775">
        <f t="shared" si="266"/>
        <v>3.2754276266709681E-2</v>
      </c>
      <c r="EQ145" s="775">
        <f t="shared" si="267"/>
        <v>3.1993637952200089</v>
      </c>
      <c r="ER145" s="775">
        <f t="shared" si="268"/>
        <v>1.9742299793935443</v>
      </c>
      <c r="ES145" s="775">
        <f t="shared" si="269"/>
        <v>2.3908012456751604</v>
      </c>
      <c r="ET145" s="775">
        <f t="shared" si="270"/>
        <v>4.7012461819114906</v>
      </c>
      <c r="EU145" s="775">
        <f t="shared" si="271"/>
        <v>1.7459240797561748</v>
      </c>
      <c r="EV145" s="775">
        <f t="shared" si="272"/>
        <v>2.5144388717729145</v>
      </c>
      <c r="EW145" s="775">
        <f t="shared" si="273"/>
        <v>612.14753061056695</v>
      </c>
      <c r="EX145" s="775">
        <f t="shared" si="274"/>
        <v>99.233110191336323</v>
      </c>
      <c r="EY145" s="775">
        <f t="shared" si="307"/>
        <v>2.3180686501906882</v>
      </c>
      <c r="EZ145" s="775">
        <f t="shared" si="275"/>
        <v>1.0536675682684946</v>
      </c>
      <c r="FA145" s="775">
        <f t="shared" si="276"/>
        <v>2.2162031046267985</v>
      </c>
      <c r="FB145" s="775">
        <f t="shared" si="277"/>
        <v>2.3902646000196421</v>
      </c>
      <c r="FC145" s="775"/>
      <c r="FD145" s="775"/>
      <c r="FE145" s="775"/>
      <c r="FF145" s="775"/>
      <c r="FG145" s="775">
        <f>VLOOKUP(TRUE,FK141:GI240,13,FALSE)</f>
        <v>0.90329199564644824</v>
      </c>
      <c r="FH145" s="1056" t="s">
        <v>915</v>
      </c>
      <c r="FI145" s="1057"/>
      <c r="FJ145" s="1058"/>
      <c r="FK145" s="775" t="b">
        <f t="shared" si="308"/>
        <v>0</v>
      </c>
      <c r="FL145" s="775">
        <f t="shared" si="278"/>
        <v>6.4339916851255765</v>
      </c>
      <c r="FM145" s="775">
        <v>5</v>
      </c>
      <c r="FN145" s="775">
        <f t="shared" si="309"/>
        <v>47.5</v>
      </c>
      <c r="FO145" s="673">
        <f t="shared" si="279"/>
        <v>41.066008314874423</v>
      </c>
      <c r="FP145" s="673">
        <f t="shared" si="280"/>
        <v>24.403675819467587</v>
      </c>
      <c r="FQ145" s="775" t="b">
        <f t="shared" si="281"/>
        <v>0</v>
      </c>
      <c r="FR145" s="673"/>
      <c r="FS145" s="775">
        <f t="shared" si="282"/>
        <v>41.066008314874423</v>
      </c>
      <c r="FT145" s="775">
        <f t="shared" si="283"/>
        <v>4.8844021997237752E-2</v>
      </c>
      <c r="FU145" s="775">
        <f t="shared" si="284"/>
        <v>5.7538518715375972E-3</v>
      </c>
      <c r="FV145" s="775">
        <f t="shared" si="285"/>
        <v>1.7716547119077084</v>
      </c>
      <c r="FW145" s="775">
        <f t="shared" si="286"/>
        <v>0.91180979082956781</v>
      </c>
      <c r="FX145" s="775">
        <f t="shared" si="287"/>
        <v>51.910163003685071</v>
      </c>
      <c r="FY145" s="775">
        <f t="shared" si="288"/>
        <v>88.60649914736409</v>
      </c>
      <c r="FZ145" s="775">
        <f t="shared" si="289"/>
        <v>31.540846062134143</v>
      </c>
      <c r="GA145" s="775">
        <f t="shared" si="290"/>
        <v>48.095838906023808</v>
      </c>
      <c r="GB145" s="775">
        <f t="shared" si="291"/>
        <v>68.577006884121801</v>
      </c>
      <c r="GC145" s="775">
        <f t="shared" si="292"/>
        <v>2.7925409803871664</v>
      </c>
      <c r="GD145" s="775">
        <f t="shared" si="293"/>
        <v>8.4666862317438891</v>
      </c>
      <c r="GE145" s="775">
        <f t="shared" si="294"/>
        <v>3.8484937417017675</v>
      </c>
      <c r="GF145" s="775">
        <f t="shared" si="295"/>
        <v>42.957371784589299</v>
      </c>
      <c r="GG145" s="775">
        <f t="shared" si="296"/>
        <v>41.066008314874423</v>
      </c>
    </row>
    <row r="146" spans="70:189" ht="15.5">
      <c r="BR146" s="775"/>
      <c r="BS146" s="775"/>
      <c r="BT146" s="775"/>
      <c r="BU146" s="775">
        <f>VLOOKUP(TRUE,BY141:CW240,14,FALSE)</f>
        <v>2.263604352088028</v>
      </c>
      <c r="BV146" s="1056" t="s">
        <v>916</v>
      </c>
      <c r="BW146" s="1057"/>
      <c r="BX146" s="1058"/>
      <c r="BY146" s="775" t="b">
        <f t="shared" si="297"/>
        <v>0</v>
      </c>
      <c r="BZ146" s="775">
        <f t="shared" si="229"/>
        <v>0.6300077698712907</v>
      </c>
      <c r="CA146" s="775">
        <v>6</v>
      </c>
      <c r="CB146" s="775">
        <f t="shared" si="310"/>
        <v>3</v>
      </c>
      <c r="CC146" s="673">
        <f t="shared" si="230"/>
        <v>2.3699922301287093</v>
      </c>
      <c r="CD146" s="91">
        <f t="shared" si="228"/>
        <v>2</v>
      </c>
      <c r="CE146" s="775" t="b">
        <f t="shared" si="231"/>
        <v>0</v>
      </c>
      <c r="CF146" s="673"/>
      <c r="CG146" s="775">
        <f t="shared" si="232"/>
        <v>2.3699922301287093</v>
      </c>
      <c r="CH146" s="775">
        <f t="shared" si="233"/>
        <v>0.40958917271643969</v>
      </c>
      <c r="CI146" s="775">
        <f t="shared" si="234"/>
        <v>2.7394942085338023E-2</v>
      </c>
      <c r="CJ146" s="775">
        <f t="shared" si="235"/>
        <v>3.4098507868161039</v>
      </c>
      <c r="CK146" s="775">
        <f t="shared" si="236"/>
        <v>2.0527072681480107</v>
      </c>
      <c r="CL146" s="775">
        <f t="shared" si="237"/>
        <v>2.5000165213965495</v>
      </c>
      <c r="CM146" s="775">
        <f t="shared" si="238"/>
        <v>4.9160059403482874</v>
      </c>
      <c r="CN146" s="775">
        <f t="shared" si="239"/>
        <v>1.7894923773842206</v>
      </c>
      <c r="CO146" s="775">
        <f t="shared" si="240"/>
        <v>2.5744187109256473</v>
      </c>
      <c r="CP146" s="775">
        <f t="shared" si="241"/>
        <v>511.9864658955496</v>
      </c>
      <c r="CQ146" s="775">
        <f t="shared" si="242"/>
        <v>82.996347851001048</v>
      </c>
      <c r="CR146" s="775">
        <f t="shared" si="298"/>
        <v>2.7715576377940629</v>
      </c>
      <c r="CS146" s="775">
        <f t="shared" si="243"/>
        <v>1.2597989262700284</v>
      </c>
      <c r="CT146" s="775">
        <f t="shared" si="244"/>
        <v>2.3699922301287093</v>
      </c>
      <c r="CU146" s="775">
        <f t="shared" si="245"/>
        <v>2.4744833347300874</v>
      </c>
      <c r="CV146" s="775"/>
      <c r="CW146" s="775"/>
      <c r="CX146" s="775"/>
      <c r="CY146" s="775"/>
      <c r="CZ146" s="775">
        <f>VLOOKUP(TRUE,DD141:EB240,14,FALSE)</f>
        <v>37.971308666842205</v>
      </c>
      <c r="DA146" s="1056" t="s">
        <v>916</v>
      </c>
      <c r="DB146" s="1057"/>
      <c r="DC146" s="1058"/>
      <c r="DD146" s="775" t="b">
        <f t="shared" si="299"/>
        <v>0</v>
      </c>
      <c r="DE146" s="775">
        <f t="shared" si="300"/>
        <v>10.203836957492108</v>
      </c>
      <c r="DF146" s="776">
        <v>7</v>
      </c>
      <c r="DG146" s="775">
        <f t="shared" si="301"/>
        <v>47</v>
      </c>
      <c r="DH146" s="673">
        <f t="shared" si="302"/>
        <v>36.796163042507892</v>
      </c>
      <c r="DI146" s="673">
        <f t="shared" si="246"/>
        <v>19</v>
      </c>
      <c r="DJ146" s="775" t="b">
        <f t="shared" si="247"/>
        <v>0</v>
      </c>
      <c r="DK146" s="673"/>
      <c r="DL146" s="775">
        <f t="shared" si="303"/>
        <v>36.796163042507892</v>
      </c>
      <c r="DM146" s="775">
        <f t="shared" si="304"/>
        <v>4.9288996628798314E-2</v>
      </c>
      <c r="DN146" s="775">
        <f t="shared" si="305"/>
        <v>5.8062701207296126E-3</v>
      </c>
      <c r="DO146" s="775">
        <f t="shared" si="248"/>
        <v>1.7696064697571907</v>
      </c>
      <c r="DP146" s="775">
        <f t="shared" si="249"/>
        <v>0.91127271586161973</v>
      </c>
      <c r="DQ146" s="775">
        <f t="shared" si="250"/>
        <v>40.324232174739471</v>
      </c>
      <c r="DR146" s="775">
        <f t="shared" si="251"/>
        <v>68.830241268083114</v>
      </c>
      <c r="DS146" s="775">
        <f t="shared" si="252"/>
        <v>31.482178820917522</v>
      </c>
      <c r="DT146" s="775">
        <f t="shared" si="253"/>
        <v>48.013433834740809</v>
      </c>
      <c r="DU146" s="775">
        <f t="shared" si="254"/>
        <v>69.201751266832829</v>
      </c>
      <c r="DV146" s="775">
        <f t="shared" si="255"/>
        <v>2.8179813483801182</v>
      </c>
      <c r="DW146" s="775">
        <f t="shared" si="256"/>
        <v>23.031509619668974</v>
      </c>
      <c r="DX146" s="775">
        <f t="shared" si="257"/>
        <v>10.468868008940442</v>
      </c>
      <c r="DY146" s="775">
        <f t="shared" si="258"/>
        <v>36.796163042507892</v>
      </c>
      <c r="DZ146" s="775">
        <f t="shared" si="259"/>
        <v>41.02376199496647</v>
      </c>
      <c r="EA146" s="775"/>
      <c r="EB146" s="775">
        <f>VLOOKUP(TRUE,EF141:FD240,14,FALSE)</f>
        <v>2.263604352088028</v>
      </c>
      <c r="EC146" s="1056" t="s">
        <v>916</v>
      </c>
      <c r="ED146" s="1057"/>
      <c r="EE146" s="1058"/>
      <c r="EF146" s="775" t="b">
        <f t="shared" si="306"/>
        <v>0</v>
      </c>
      <c r="EG146" s="775">
        <f t="shared" si="260"/>
        <v>0.6300077698712907</v>
      </c>
      <c r="EH146" s="775">
        <v>6</v>
      </c>
      <c r="EI146" s="775">
        <f t="shared" si="311"/>
        <v>3</v>
      </c>
      <c r="EJ146" s="673">
        <f t="shared" si="261"/>
        <v>2.3699922301287093</v>
      </c>
      <c r="EK146" s="673">
        <f t="shared" si="262"/>
        <v>2.2510196371999172</v>
      </c>
      <c r="EL146" s="775" t="b">
        <f t="shared" si="263"/>
        <v>0</v>
      </c>
      <c r="EM146" s="673"/>
      <c r="EN146" s="775">
        <f t="shared" si="264"/>
        <v>2.3699922301287093</v>
      </c>
      <c r="EO146" s="775">
        <f t="shared" si="265"/>
        <v>0.40958917271643969</v>
      </c>
      <c r="EP146" s="775">
        <f t="shared" si="266"/>
        <v>2.7394942085338023E-2</v>
      </c>
      <c r="EQ146" s="775">
        <f t="shared" si="267"/>
        <v>3.4098507868161039</v>
      </c>
      <c r="ER146" s="775">
        <f t="shared" si="268"/>
        <v>2.0527072681480107</v>
      </c>
      <c r="ES146" s="775">
        <f t="shared" si="269"/>
        <v>2.5000165213965495</v>
      </c>
      <c r="ET146" s="775">
        <f t="shared" si="270"/>
        <v>4.9160059403482874</v>
      </c>
      <c r="EU146" s="775">
        <f t="shared" si="271"/>
        <v>1.7894923773842206</v>
      </c>
      <c r="EV146" s="775">
        <f t="shared" si="272"/>
        <v>2.5744187109256473</v>
      </c>
      <c r="EW146" s="775">
        <f t="shared" si="273"/>
        <v>511.9864658955496</v>
      </c>
      <c r="EX146" s="775">
        <f t="shared" si="274"/>
        <v>82.996347851001048</v>
      </c>
      <c r="EY146" s="775">
        <f t="shared" si="307"/>
        <v>2.7715576377940629</v>
      </c>
      <c r="EZ146" s="775">
        <f t="shared" si="275"/>
        <v>1.2597989262700284</v>
      </c>
      <c r="FA146" s="775">
        <f t="shared" si="276"/>
        <v>2.3699922301287093</v>
      </c>
      <c r="FB146" s="775">
        <f t="shared" si="277"/>
        <v>2.4744833347300874</v>
      </c>
      <c r="FC146" s="775"/>
      <c r="FD146" s="775"/>
      <c r="FE146" s="775"/>
      <c r="FF146" s="775"/>
      <c r="FG146" s="775">
        <f>VLOOKUP(TRUE,FK141:GI240,14,FALSE)</f>
        <v>50.166987824541778</v>
      </c>
      <c r="FH146" s="1056" t="s">
        <v>916</v>
      </c>
      <c r="FI146" s="1057"/>
      <c r="FJ146" s="1058"/>
      <c r="FK146" s="775" t="b">
        <f t="shared" si="308"/>
        <v>0</v>
      </c>
      <c r="FL146" s="775">
        <f t="shared" si="278"/>
        <v>5.9762380050335295</v>
      </c>
      <c r="FM146" s="775">
        <v>6</v>
      </c>
      <c r="FN146" s="775">
        <f t="shared" si="309"/>
        <v>47</v>
      </c>
      <c r="FO146" s="673">
        <f t="shared" si="279"/>
        <v>41.02376199496647</v>
      </c>
      <c r="FP146" s="673">
        <f t="shared" si="280"/>
        <v>24.403675819467587</v>
      </c>
      <c r="FQ146" s="775" t="b">
        <f t="shared" si="281"/>
        <v>0</v>
      </c>
      <c r="FR146" s="673"/>
      <c r="FS146" s="775">
        <f t="shared" si="282"/>
        <v>41.02376199496647</v>
      </c>
      <c r="FT146" s="775">
        <f t="shared" si="283"/>
        <v>4.9288996628798314E-2</v>
      </c>
      <c r="FU146" s="775">
        <f t="shared" si="284"/>
        <v>5.8062701207296126E-3</v>
      </c>
      <c r="FV146" s="775">
        <f t="shared" si="285"/>
        <v>1.7696064697571907</v>
      </c>
      <c r="FW146" s="775">
        <f t="shared" si="286"/>
        <v>0.91127271586161973</v>
      </c>
      <c r="FX146" s="775">
        <f t="shared" si="287"/>
        <v>51.792604719015081</v>
      </c>
      <c r="FY146" s="775">
        <f t="shared" si="288"/>
        <v>88.405836551686306</v>
      </c>
      <c r="FZ146" s="775">
        <f t="shared" si="289"/>
        <v>31.482178820917522</v>
      </c>
      <c r="GA146" s="775">
        <f t="shared" si="290"/>
        <v>48.013433834740809</v>
      </c>
      <c r="GB146" s="775">
        <f t="shared" si="291"/>
        <v>69.201751266832829</v>
      </c>
      <c r="GC146" s="775">
        <f t="shared" si="292"/>
        <v>2.8179813483801182</v>
      </c>
      <c r="GD146" s="775">
        <f t="shared" si="293"/>
        <v>8.3902500929666619</v>
      </c>
      <c r="GE146" s="775">
        <f t="shared" si="294"/>
        <v>3.8137500422575732</v>
      </c>
      <c r="GF146" s="775">
        <f t="shared" si="295"/>
        <v>42.900894462896936</v>
      </c>
      <c r="GG146" s="775">
        <f t="shared" si="296"/>
        <v>41.02376199496647</v>
      </c>
    </row>
    <row r="147" spans="70:189" ht="15.5">
      <c r="BR147" s="50"/>
      <c r="BS147" s="50"/>
      <c r="BT147" s="50"/>
      <c r="BU147" s="50">
        <f>VLOOKUP(TRUE,BY141:CW240,16,FALSE)</f>
        <v>1.6938237937032092</v>
      </c>
      <c r="BV147" s="1056" t="s">
        <v>613</v>
      </c>
      <c r="BW147" s="1057"/>
      <c r="BX147" s="1058"/>
      <c r="BY147" s="775" t="b">
        <f t="shared" si="297"/>
        <v>0</v>
      </c>
      <c r="BZ147" s="775">
        <f t="shared" si="229"/>
        <v>0.99491301125251663</v>
      </c>
      <c r="CA147" s="775">
        <v>7</v>
      </c>
      <c r="CB147" s="775">
        <f t="shared" si="310"/>
        <v>3.5</v>
      </c>
      <c r="CC147" s="673">
        <f t="shared" si="230"/>
        <v>2.5050869887474834</v>
      </c>
      <c r="CD147" s="91">
        <f t="shared" si="228"/>
        <v>2</v>
      </c>
      <c r="CE147" s="775" t="b">
        <f t="shared" si="231"/>
        <v>0</v>
      </c>
      <c r="CF147" s="673"/>
      <c r="CG147" s="775">
        <f t="shared" si="232"/>
        <v>2.5050869887474834</v>
      </c>
      <c r="CH147" s="775">
        <f t="shared" si="233"/>
        <v>0.35216047737760803</v>
      </c>
      <c r="CI147" s="775">
        <f t="shared" si="234"/>
        <v>2.3553884050503234E-2</v>
      </c>
      <c r="CJ147" s="775">
        <f t="shared" si="235"/>
        <v>3.5847651415992572</v>
      </c>
      <c r="CK147" s="775">
        <f t="shared" si="236"/>
        <v>2.1150825067527959</v>
      </c>
      <c r="CL147" s="775">
        <f t="shared" si="237"/>
        <v>2.5962400323934052</v>
      </c>
      <c r="CM147" s="775">
        <f t="shared" si="238"/>
        <v>5.1052188305884956</v>
      </c>
      <c r="CN147" s="775">
        <f t="shared" si="239"/>
        <v>1.8270460062731997</v>
      </c>
      <c r="CO147" s="775">
        <f t="shared" si="240"/>
        <v>2.6261405509202009</v>
      </c>
      <c r="CP147" s="775">
        <f t="shared" si="241"/>
        <v>440.20059672201006</v>
      </c>
      <c r="CQ147" s="775">
        <f t="shared" si="242"/>
        <v>71.359389912489789</v>
      </c>
      <c r="CR147" s="775">
        <f t="shared" si="298"/>
        <v>3.2235303872068783</v>
      </c>
      <c r="CS147" s="775">
        <f t="shared" si="243"/>
        <v>1.4652410850940354</v>
      </c>
      <c r="CT147" s="775">
        <f t="shared" si="244"/>
        <v>2.5050869887474834</v>
      </c>
      <c r="CU147" s="775">
        <f t="shared" si="245"/>
        <v>2.5469902623541434</v>
      </c>
      <c r="CV147" s="50"/>
      <c r="CW147" s="50"/>
      <c r="CX147" s="50"/>
      <c r="CY147" s="50"/>
      <c r="CZ147" s="50">
        <f>VLOOKUP(TRUE,DD141:EB240,16,FALSE)</f>
        <v>29.959224108195858</v>
      </c>
      <c r="DA147" s="1056" t="s">
        <v>613</v>
      </c>
      <c r="DB147" s="1057"/>
      <c r="DC147" s="1058"/>
      <c r="DD147" s="775" t="b">
        <f t="shared" si="299"/>
        <v>0</v>
      </c>
      <c r="DE147" s="775">
        <f t="shared" si="300"/>
        <v>9.7582665053567013</v>
      </c>
      <c r="DF147" s="32">
        <v>8</v>
      </c>
      <c r="DG147" s="775">
        <f t="shared" si="301"/>
        <v>46.5</v>
      </c>
      <c r="DH147" s="673">
        <f t="shared" si="302"/>
        <v>36.741733494643299</v>
      </c>
      <c r="DI147" s="673">
        <f t="shared" si="246"/>
        <v>19</v>
      </c>
      <c r="DJ147" s="775" t="b">
        <f t="shared" si="247"/>
        <v>0</v>
      </c>
      <c r="DK147" s="673"/>
      <c r="DL147" s="775">
        <f t="shared" si="303"/>
        <v>36.741733494643299</v>
      </c>
      <c r="DM147" s="775">
        <f t="shared" si="304"/>
        <v>4.9742849607721712E-2</v>
      </c>
      <c r="DN147" s="775">
        <f t="shared" si="305"/>
        <v>5.8597342439815634E-3</v>
      </c>
      <c r="DO147" s="775">
        <f t="shared" si="248"/>
        <v>1.7675236905000205</v>
      </c>
      <c r="DP147" s="775">
        <f t="shared" si="249"/>
        <v>0.91072590138447251</v>
      </c>
      <c r="DQ147" s="775">
        <f t="shared" si="250"/>
        <v>40.231936366828293</v>
      </c>
      <c r="DR147" s="775">
        <f t="shared" si="251"/>
        <v>68.672699701041481</v>
      </c>
      <c r="DS147" s="775">
        <f t="shared" si="252"/>
        <v>31.422976143670503</v>
      </c>
      <c r="DT147" s="775">
        <f t="shared" si="253"/>
        <v>47.930259598700395</v>
      </c>
      <c r="DU147" s="775">
        <f t="shared" si="254"/>
        <v>69.838960849241289</v>
      </c>
      <c r="DV147" s="775">
        <f t="shared" si="255"/>
        <v>2.8439293148024181</v>
      </c>
      <c r="DW147" s="775">
        <f t="shared" si="256"/>
        <v>22.821370487463589</v>
      </c>
      <c r="DX147" s="775">
        <f t="shared" si="257"/>
        <v>10.373350221574357</v>
      </c>
      <c r="DY147" s="775">
        <f t="shared" si="258"/>
        <v>36.741733494643299</v>
      </c>
      <c r="DZ147" s="775">
        <f t="shared" si="259"/>
        <v>40.981059887121447</v>
      </c>
      <c r="EA147" s="50"/>
      <c r="EB147" s="50">
        <f>VLOOKUP(TRUE,EF141:FD240,16,FALSE)</f>
        <v>1.6938237937032092</v>
      </c>
      <c r="EC147" s="1056" t="s">
        <v>613</v>
      </c>
      <c r="ED147" s="1057"/>
      <c r="EE147" s="1058"/>
      <c r="EF147" s="775" t="b">
        <f t="shared" si="306"/>
        <v>0</v>
      </c>
      <c r="EG147" s="775">
        <f t="shared" si="260"/>
        <v>0.99491301125251663</v>
      </c>
      <c r="EH147" s="775">
        <v>7</v>
      </c>
      <c r="EI147" s="775">
        <f t="shared" si="311"/>
        <v>3.5</v>
      </c>
      <c r="EJ147" s="673">
        <f t="shared" si="261"/>
        <v>2.5050869887474834</v>
      </c>
      <c r="EK147" s="673">
        <f t="shared" si="262"/>
        <v>2.2510196371999172</v>
      </c>
      <c r="EL147" s="775" t="b">
        <f t="shared" si="263"/>
        <v>0</v>
      </c>
      <c r="EM147" s="673"/>
      <c r="EN147" s="775">
        <f t="shared" si="264"/>
        <v>2.5050869887474834</v>
      </c>
      <c r="EO147" s="775">
        <f t="shared" si="265"/>
        <v>0.35216047737760803</v>
      </c>
      <c r="EP147" s="775">
        <f t="shared" si="266"/>
        <v>2.3553884050503234E-2</v>
      </c>
      <c r="EQ147" s="775">
        <f t="shared" si="267"/>
        <v>3.5847651415992572</v>
      </c>
      <c r="ER147" s="775">
        <f t="shared" si="268"/>
        <v>2.1150825067527959</v>
      </c>
      <c r="ES147" s="775">
        <f t="shared" si="269"/>
        <v>2.5962400323934052</v>
      </c>
      <c r="ET147" s="775">
        <f t="shared" si="270"/>
        <v>5.1052188305884956</v>
      </c>
      <c r="EU147" s="775">
        <f t="shared" si="271"/>
        <v>1.8270460062731997</v>
      </c>
      <c r="EV147" s="775">
        <f t="shared" si="272"/>
        <v>2.6261405509202009</v>
      </c>
      <c r="EW147" s="775">
        <f t="shared" si="273"/>
        <v>440.20059672201006</v>
      </c>
      <c r="EX147" s="775">
        <f t="shared" si="274"/>
        <v>71.359389912489789</v>
      </c>
      <c r="EY147" s="775">
        <f t="shared" si="307"/>
        <v>3.2235303872068783</v>
      </c>
      <c r="EZ147" s="775">
        <f t="shared" si="275"/>
        <v>1.4652410850940354</v>
      </c>
      <c r="FA147" s="775">
        <f t="shared" si="276"/>
        <v>2.5050869887474834</v>
      </c>
      <c r="FB147" s="775">
        <f t="shared" si="277"/>
        <v>2.5469902623541434</v>
      </c>
      <c r="FC147" s="50"/>
      <c r="FD147" s="50"/>
      <c r="FE147" s="50"/>
      <c r="FF147" s="50"/>
      <c r="FG147" s="50">
        <f>VLOOKUP(TRUE,FK141:GI240,16,FALSE)</f>
        <v>30.666534852087629</v>
      </c>
      <c r="FH147" s="1056" t="s">
        <v>613</v>
      </c>
      <c r="FI147" s="1057"/>
      <c r="FJ147" s="1058"/>
      <c r="FK147" s="775" t="b">
        <f t="shared" si="308"/>
        <v>0</v>
      </c>
      <c r="FL147" s="775">
        <f t="shared" si="278"/>
        <v>5.5189401128785534</v>
      </c>
      <c r="FM147" s="775">
        <v>7</v>
      </c>
      <c r="FN147" s="775">
        <f t="shared" si="309"/>
        <v>46.5</v>
      </c>
      <c r="FO147" s="673">
        <f t="shared" si="279"/>
        <v>40.981059887121447</v>
      </c>
      <c r="FP147" s="673">
        <f t="shared" si="280"/>
        <v>24.403675819467587</v>
      </c>
      <c r="FQ147" s="775" t="b">
        <f t="shared" si="281"/>
        <v>0</v>
      </c>
      <c r="FR147" s="673"/>
      <c r="FS147" s="775">
        <f t="shared" si="282"/>
        <v>40.981059887121447</v>
      </c>
      <c r="FT147" s="775">
        <f t="shared" si="283"/>
        <v>4.9742849607721712E-2</v>
      </c>
      <c r="FU147" s="775">
        <f t="shared" si="284"/>
        <v>5.8597342439815634E-3</v>
      </c>
      <c r="FV147" s="775">
        <f t="shared" si="285"/>
        <v>1.7675236905000205</v>
      </c>
      <c r="FW147" s="775">
        <f t="shared" si="286"/>
        <v>0.91072590138447251</v>
      </c>
      <c r="FX147" s="775">
        <f t="shared" si="287"/>
        <v>51.674059615027694</v>
      </c>
      <c r="FY147" s="775">
        <f t="shared" si="288"/>
        <v>88.203489534308673</v>
      </c>
      <c r="FZ147" s="775">
        <f t="shared" si="289"/>
        <v>31.422976143670503</v>
      </c>
      <c r="GA147" s="775">
        <f t="shared" si="290"/>
        <v>47.930259598700395</v>
      </c>
      <c r="GB147" s="775">
        <f t="shared" si="291"/>
        <v>69.838960849241289</v>
      </c>
      <c r="GC147" s="775">
        <f t="shared" si="292"/>
        <v>2.8439293148024181</v>
      </c>
      <c r="GD147" s="775">
        <f t="shared" si="293"/>
        <v>8.3136975828343491</v>
      </c>
      <c r="GE147" s="775">
        <f t="shared" si="294"/>
        <v>3.7789534467428858</v>
      </c>
      <c r="GF147" s="775">
        <f t="shared" si="295"/>
        <v>42.843829693193214</v>
      </c>
      <c r="GG147" s="775">
        <f t="shared" si="296"/>
        <v>40.981059887121447</v>
      </c>
    </row>
    <row r="148" spans="70:189" ht="15.5">
      <c r="BR148" s="775"/>
      <c r="BS148" s="775"/>
      <c r="BT148" s="775"/>
      <c r="BU148" s="775">
        <f>VLOOKUP(TRUE,BY141:CW240,10,FALSE)</f>
        <v>0.6094216822115891</v>
      </c>
      <c r="BV148" s="756" t="s">
        <v>536</v>
      </c>
      <c r="BW148" s="775"/>
      <c r="BX148" s="775"/>
      <c r="BY148" s="775" t="b">
        <f t="shared" si="297"/>
        <v>0</v>
      </c>
      <c r="BZ148" s="775">
        <f t="shared" si="229"/>
        <v>1.3740106673977981</v>
      </c>
      <c r="CA148" s="32">
        <v>8</v>
      </c>
      <c r="CB148" s="775">
        <f t="shared" si="310"/>
        <v>4</v>
      </c>
      <c r="CC148" s="673">
        <f t="shared" si="230"/>
        <v>2.6259893326022019</v>
      </c>
      <c r="CD148" s="91">
        <f t="shared" si="228"/>
        <v>2</v>
      </c>
      <c r="CE148" s="775" t="b">
        <f t="shared" si="231"/>
        <v>0</v>
      </c>
      <c r="CF148" s="673"/>
      <c r="CG148" s="775">
        <f t="shared" si="232"/>
        <v>2.6259893326022019</v>
      </c>
      <c r="CH148" s="775">
        <f t="shared" si="233"/>
        <v>0.30896444593401362</v>
      </c>
      <c r="CI148" s="775">
        <f t="shared" si="234"/>
        <v>2.0664762807708691E-2</v>
      </c>
      <c r="CJ148" s="775">
        <f t="shared" si="235"/>
        <v>3.7327604536235928</v>
      </c>
      <c r="CK148" s="775">
        <f t="shared" si="236"/>
        <v>2.1659362701819798</v>
      </c>
      <c r="CL148" s="775">
        <f t="shared" si="237"/>
        <v>2.6825811539314262</v>
      </c>
      <c r="CM148" s="775">
        <f t="shared" si="238"/>
        <v>5.274999095136562</v>
      </c>
      <c r="CN148" s="775">
        <f t="shared" si="239"/>
        <v>1.8601178238688743</v>
      </c>
      <c r="CO148" s="775">
        <f t="shared" si="240"/>
        <v>2.671706585950318</v>
      </c>
      <c r="CP148" s="775">
        <f t="shared" si="241"/>
        <v>386.20555741751701</v>
      </c>
      <c r="CQ148" s="775">
        <f t="shared" si="242"/>
        <v>62.60644161627755</v>
      </c>
      <c r="CR148" s="775">
        <f t="shared" si="298"/>
        <v>3.6742091685282383</v>
      </c>
      <c r="CS148" s="775">
        <f t="shared" si="243"/>
        <v>1.6700950766037446</v>
      </c>
      <c r="CT148" s="775">
        <f t="shared" si="244"/>
        <v>2.6259893326022019</v>
      </c>
      <c r="CU148" s="775">
        <f t="shared" si="245"/>
        <v>2.6107783249052163</v>
      </c>
      <c r="CV148" s="775"/>
      <c r="CW148" s="775"/>
      <c r="CX148" s="775"/>
      <c r="CY148" s="775"/>
      <c r="CZ148" s="775">
        <f>VLOOKUP(TRUE,DD141:EB240,10,FALSE)</f>
        <v>6.2689115608258281E-2</v>
      </c>
      <c r="DA148" s="756" t="s">
        <v>536</v>
      </c>
      <c r="DB148" s="775"/>
      <c r="DC148" s="775"/>
      <c r="DD148" s="775" t="b">
        <f t="shared" si="299"/>
        <v>0</v>
      </c>
      <c r="DE148" s="775">
        <f t="shared" si="300"/>
        <v>9.3132529107741746</v>
      </c>
      <c r="DF148" s="776">
        <v>9</v>
      </c>
      <c r="DG148" s="775">
        <f t="shared" si="301"/>
        <v>46</v>
      </c>
      <c r="DH148" s="673">
        <f t="shared" si="302"/>
        <v>36.686747089225825</v>
      </c>
      <c r="DI148" s="673">
        <f t="shared" si="246"/>
        <v>19</v>
      </c>
      <c r="DJ148" s="775" t="b">
        <f t="shared" si="247"/>
        <v>0</v>
      </c>
      <c r="DK148" s="673"/>
      <c r="DL148" s="775">
        <f t="shared" si="303"/>
        <v>36.686747089225825</v>
      </c>
      <c r="DM148" s="775">
        <f t="shared" si="304"/>
        <v>5.0205856432656924E-2</v>
      </c>
      <c r="DN148" s="775">
        <f t="shared" si="305"/>
        <v>5.9142766951814016E-3</v>
      </c>
      <c r="DO148" s="775">
        <f t="shared" si="248"/>
        <v>1.765405458411903</v>
      </c>
      <c r="DP148" s="775">
        <f t="shared" si="249"/>
        <v>0.91016907120553048</v>
      </c>
      <c r="DQ148" s="775">
        <f t="shared" si="250"/>
        <v>40.138857433939414</v>
      </c>
      <c r="DR148" s="775">
        <f t="shared" si="251"/>
        <v>68.51382140225688</v>
      </c>
      <c r="DS148" s="775">
        <f t="shared" si="252"/>
        <v>31.363227361659327</v>
      </c>
      <c r="DT148" s="775">
        <f t="shared" si="253"/>
        <v>47.846300700446449</v>
      </c>
      <c r="DU148" s="775">
        <f t="shared" si="254"/>
        <v>70.489022431450323</v>
      </c>
      <c r="DV148" s="775">
        <f t="shared" si="255"/>
        <v>2.8704006306351646</v>
      </c>
      <c r="DW148" s="775">
        <f t="shared" si="256"/>
        <v>22.610907982870248</v>
      </c>
      <c r="DX148" s="775">
        <f t="shared" si="257"/>
        <v>10.277685446759204</v>
      </c>
      <c r="DY148" s="775">
        <f t="shared" si="258"/>
        <v>36.686747089225825</v>
      </c>
      <c r="DZ148" s="775">
        <f t="shared" si="259"/>
        <v>40.937892168274502</v>
      </c>
      <c r="EA148" s="775"/>
      <c r="EB148" s="775">
        <f>VLOOKUP(TRUE,EF141:FD240,10,FALSE)</f>
        <v>0.6094216822115891</v>
      </c>
      <c r="EC148" s="756" t="s">
        <v>536</v>
      </c>
      <c r="ED148" s="775"/>
      <c r="EE148" s="775"/>
      <c r="EF148" s="775" t="b">
        <f t="shared" si="306"/>
        <v>0</v>
      </c>
      <c r="EG148" s="775">
        <f t="shared" si="260"/>
        <v>1.3740106673977981</v>
      </c>
      <c r="EH148" s="32">
        <v>8</v>
      </c>
      <c r="EI148" s="775">
        <f t="shared" si="311"/>
        <v>4</v>
      </c>
      <c r="EJ148" s="673">
        <f t="shared" si="261"/>
        <v>2.6259893326022019</v>
      </c>
      <c r="EK148" s="673">
        <f t="shared" si="262"/>
        <v>2.2510196371999172</v>
      </c>
      <c r="EL148" s="775" t="b">
        <f t="shared" si="263"/>
        <v>0</v>
      </c>
      <c r="EM148" s="673"/>
      <c r="EN148" s="775">
        <f t="shared" si="264"/>
        <v>2.6259893326022019</v>
      </c>
      <c r="EO148" s="775">
        <f t="shared" si="265"/>
        <v>0.30896444593401362</v>
      </c>
      <c r="EP148" s="775">
        <f t="shared" si="266"/>
        <v>2.0664762807708691E-2</v>
      </c>
      <c r="EQ148" s="775">
        <f t="shared" si="267"/>
        <v>3.7327604536235928</v>
      </c>
      <c r="ER148" s="775">
        <f t="shared" si="268"/>
        <v>2.1659362701819798</v>
      </c>
      <c r="ES148" s="775">
        <f t="shared" si="269"/>
        <v>2.6825811539314262</v>
      </c>
      <c r="ET148" s="775">
        <f t="shared" si="270"/>
        <v>5.274999095136562</v>
      </c>
      <c r="EU148" s="775">
        <f t="shared" si="271"/>
        <v>1.8601178238688743</v>
      </c>
      <c r="EV148" s="775">
        <f t="shared" si="272"/>
        <v>2.671706585950318</v>
      </c>
      <c r="EW148" s="775">
        <f t="shared" si="273"/>
        <v>386.20555741751701</v>
      </c>
      <c r="EX148" s="775">
        <f t="shared" si="274"/>
        <v>62.60644161627755</v>
      </c>
      <c r="EY148" s="775">
        <f t="shared" si="307"/>
        <v>3.6742091685282383</v>
      </c>
      <c r="EZ148" s="775">
        <f t="shared" si="275"/>
        <v>1.6700950766037446</v>
      </c>
      <c r="FA148" s="775">
        <f t="shared" si="276"/>
        <v>2.6259893326022019</v>
      </c>
      <c r="FB148" s="775">
        <f t="shared" si="277"/>
        <v>2.6107783249052163</v>
      </c>
      <c r="FC148" s="775"/>
      <c r="FD148" s="775"/>
      <c r="FE148" s="775"/>
      <c r="FF148" s="775"/>
      <c r="FG148" s="775">
        <f>VLOOKUP(TRUE,FK141:GI240,10,FALSE)</f>
        <v>5.5994953291253244E-2</v>
      </c>
      <c r="FH148" s="756" t="s">
        <v>536</v>
      </c>
      <c r="FI148" s="775"/>
      <c r="FJ148" s="775"/>
      <c r="FK148" s="775" t="b">
        <f t="shared" si="308"/>
        <v>0</v>
      </c>
      <c r="FL148" s="775">
        <f t="shared" si="278"/>
        <v>5.0621078317254984</v>
      </c>
      <c r="FM148" s="32">
        <v>8</v>
      </c>
      <c r="FN148" s="775">
        <f t="shared" si="309"/>
        <v>46</v>
      </c>
      <c r="FO148" s="673">
        <f t="shared" si="279"/>
        <v>40.937892168274502</v>
      </c>
      <c r="FP148" s="673">
        <f t="shared" si="280"/>
        <v>24.403675819467587</v>
      </c>
      <c r="FQ148" s="775" t="b">
        <f t="shared" si="281"/>
        <v>0</v>
      </c>
      <c r="FR148" s="673"/>
      <c r="FS148" s="775">
        <f t="shared" si="282"/>
        <v>40.937892168274502</v>
      </c>
      <c r="FT148" s="775">
        <f t="shared" si="283"/>
        <v>5.0205856432656924E-2</v>
      </c>
      <c r="FU148" s="775">
        <f t="shared" si="284"/>
        <v>5.9142766951814016E-3</v>
      </c>
      <c r="FV148" s="775">
        <f t="shared" si="285"/>
        <v>1.765405458411903</v>
      </c>
      <c r="FW148" s="775">
        <f t="shared" si="286"/>
        <v>0.91016907120553048</v>
      </c>
      <c r="FX148" s="775">
        <f t="shared" si="287"/>
        <v>51.554508662193896</v>
      </c>
      <c r="FY148" s="775">
        <f t="shared" si="288"/>
        <v>87.999425613346162</v>
      </c>
      <c r="FZ148" s="775">
        <f t="shared" si="289"/>
        <v>31.363227361659327</v>
      </c>
      <c r="GA148" s="775">
        <f t="shared" si="290"/>
        <v>47.846300700446449</v>
      </c>
      <c r="GB148" s="775">
        <f t="shared" si="291"/>
        <v>70.489022431450323</v>
      </c>
      <c r="GC148" s="775">
        <f t="shared" si="292"/>
        <v>2.8704006306351646</v>
      </c>
      <c r="GD148" s="775">
        <f t="shared" si="293"/>
        <v>8.2370272699503744</v>
      </c>
      <c r="GE148" s="775">
        <f t="shared" si="294"/>
        <v>3.7441033045228971</v>
      </c>
      <c r="GF148" s="775">
        <f t="shared" si="295"/>
        <v>42.786165098720346</v>
      </c>
      <c r="GG148" s="775">
        <f t="shared" si="296"/>
        <v>40.937892168274502</v>
      </c>
    </row>
    <row r="149" spans="70:189" ht="15.5">
      <c r="BR149" s="775"/>
      <c r="BS149" s="775"/>
      <c r="BT149" s="775"/>
      <c r="BU149" s="775">
        <f>VLOOKUP(TRUE,BY141:CW240,18,FALSE)</f>
        <v>761.77710276448636</v>
      </c>
      <c r="BV149" s="756" t="s">
        <v>922</v>
      </c>
      <c r="BW149" s="775"/>
      <c r="BX149" s="775"/>
      <c r="BY149" s="775" t="b">
        <f t="shared" si="297"/>
        <v>0</v>
      </c>
      <c r="BZ149" s="775">
        <f t="shared" si="229"/>
        <v>1.7642942879255994</v>
      </c>
      <c r="CA149" s="775">
        <v>9</v>
      </c>
      <c r="CB149" s="775">
        <f t="shared" si="310"/>
        <v>4.5</v>
      </c>
      <c r="CC149" s="673">
        <f t="shared" si="230"/>
        <v>2.7357057120744006</v>
      </c>
      <c r="CD149" s="91">
        <f t="shared" si="228"/>
        <v>2</v>
      </c>
      <c r="CE149" s="775" t="b">
        <f t="shared" si="231"/>
        <v>0</v>
      </c>
      <c r="CF149" s="673"/>
      <c r="CG149" s="775">
        <f t="shared" si="232"/>
        <v>2.7357057120744006</v>
      </c>
      <c r="CH149" s="775">
        <f t="shared" si="233"/>
        <v>0.2752827726734714</v>
      </c>
      <c r="CI149" s="775">
        <f t="shared" si="234"/>
        <v>1.8411999429735742E-2</v>
      </c>
      <c r="CJ149" s="775">
        <f t="shared" si="235"/>
        <v>3.8598026695944254</v>
      </c>
      <c r="CK149" s="775">
        <f t="shared" si="236"/>
        <v>2.2082382971913863</v>
      </c>
      <c r="CL149" s="775">
        <f t="shared" si="237"/>
        <v>2.7611197166547279</v>
      </c>
      <c r="CM149" s="775">
        <f t="shared" si="238"/>
        <v>5.4294364908856467</v>
      </c>
      <c r="CN149" s="775">
        <f t="shared" si="239"/>
        <v>1.8897133484452033</v>
      </c>
      <c r="CO149" s="775">
        <f t="shared" si="240"/>
        <v>2.7124962744561807</v>
      </c>
      <c r="CP149" s="775">
        <f t="shared" si="241"/>
        <v>344.10346584183924</v>
      </c>
      <c r="CQ149" s="775">
        <f t="shared" si="242"/>
        <v>55.781417772029037</v>
      </c>
      <c r="CR149" s="775">
        <f t="shared" si="298"/>
        <v>4.1237596852692464</v>
      </c>
      <c r="CS149" s="775">
        <f t="shared" si="243"/>
        <v>1.87443622057693</v>
      </c>
      <c r="CT149" s="775">
        <f t="shared" si="244"/>
        <v>2.7357057120744006</v>
      </c>
      <c r="CU149" s="775">
        <f t="shared" si="245"/>
        <v>2.667809169469284</v>
      </c>
      <c r="CV149" s="775"/>
      <c r="CW149" s="775"/>
      <c r="CX149" s="775"/>
      <c r="CY149" s="775"/>
      <c r="CZ149" s="775">
        <f>VLOOKUP(TRUE,DD141:EB240,18,FALSE)</f>
        <v>88.015518313994633</v>
      </c>
      <c r="DA149" s="756" t="s">
        <v>922</v>
      </c>
      <c r="DB149" s="775"/>
      <c r="DC149" s="775"/>
      <c r="DD149" s="775" t="b">
        <f t="shared" si="299"/>
        <v>0</v>
      </c>
      <c r="DE149" s="775">
        <f t="shared" si="300"/>
        <v>8.8688078769300915</v>
      </c>
      <c r="DF149" s="776">
        <v>10</v>
      </c>
      <c r="DG149" s="775">
        <f t="shared" si="301"/>
        <v>45.5</v>
      </c>
      <c r="DH149" s="673">
        <f t="shared" si="302"/>
        <v>36.631192123069908</v>
      </c>
      <c r="DI149" s="673">
        <f t="shared" si="246"/>
        <v>19</v>
      </c>
      <c r="DJ149" s="775" t="b">
        <f t="shared" si="247"/>
        <v>0</v>
      </c>
      <c r="DK149" s="673"/>
      <c r="DL149" s="775">
        <f t="shared" si="303"/>
        <v>36.631192123069908</v>
      </c>
      <c r="DM149" s="775">
        <f t="shared" si="304"/>
        <v>5.0678304270069412E-2</v>
      </c>
      <c r="DN149" s="775">
        <f t="shared" si="305"/>
        <v>5.9699313026920905E-3</v>
      </c>
      <c r="DO149" s="775">
        <f t="shared" si="248"/>
        <v>1.7632508243483007</v>
      </c>
      <c r="DP149" s="775">
        <f t="shared" si="249"/>
        <v>0.90960193839910874</v>
      </c>
      <c r="DQ149" s="775">
        <f t="shared" si="250"/>
        <v>40.044980109662554</v>
      </c>
      <c r="DR149" s="775">
        <f t="shared" si="251"/>
        <v>68.353580313187223</v>
      </c>
      <c r="DS149" s="775">
        <f t="shared" si="252"/>
        <v>31.302921475266235</v>
      </c>
      <c r="DT149" s="775">
        <f t="shared" si="253"/>
        <v>47.761541158353076</v>
      </c>
      <c r="DU149" s="775">
        <f t="shared" si="254"/>
        <v>71.152339195177447</v>
      </c>
      <c r="DV149" s="775">
        <f t="shared" si="255"/>
        <v>2.897411713939162</v>
      </c>
      <c r="DW149" s="775">
        <f t="shared" si="256"/>
        <v>22.400118085056935</v>
      </c>
      <c r="DX149" s="775">
        <f t="shared" si="257"/>
        <v>10.18187185684406</v>
      </c>
      <c r="DY149" s="775">
        <f t="shared" si="258"/>
        <v>36.631192123069908</v>
      </c>
      <c r="DZ149" s="775">
        <f t="shared" si="259"/>
        <v>40.894248694930134</v>
      </c>
      <c r="EA149" s="775"/>
      <c r="EB149" s="775">
        <f>VLOOKUP(TRUE,EF141:FD240,18,FALSE)</f>
        <v>761.77710276448636</v>
      </c>
      <c r="EC149" s="756" t="s">
        <v>922</v>
      </c>
      <c r="ED149" s="775"/>
      <c r="EE149" s="775"/>
      <c r="EF149" s="775" t="b">
        <f t="shared" si="306"/>
        <v>0</v>
      </c>
      <c r="EG149" s="775">
        <f t="shared" si="260"/>
        <v>1.7642942879255994</v>
      </c>
      <c r="EH149" s="775">
        <v>9</v>
      </c>
      <c r="EI149" s="775">
        <f t="shared" si="311"/>
        <v>4.5</v>
      </c>
      <c r="EJ149" s="673">
        <f t="shared" si="261"/>
        <v>2.7357057120744006</v>
      </c>
      <c r="EK149" s="673">
        <f t="shared" si="262"/>
        <v>2.2510196371999172</v>
      </c>
      <c r="EL149" s="775" t="b">
        <f t="shared" si="263"/>
        <v>0</v>
      </c>
      <c r="EM149" s="673"/>
      <c r="EN149" s="775">
        <f t="shared" si="264"/>
        <v>2.7357057120744006</v>
      </c>
      <c r="EO149" s="775">
        <f t="shared" si="265"/>
        <v>0.2752827726734714</v>
      </c>
      <c r="EP149" s="775">
        <f t="shared" si="266"/>
        <v>1.8411999429735742E-2</v>
      </c>
      <c r="EQ149" s="775">
        <f t="shared" si="267"/>
        <v>3.8598026695944254</v>
      </c>
      <c r="ER149" s="775">
        <f t="shared" si="268"/>
        <v>2.2082382971913863</v>
      </c>
      <c r="ES149" s="775">
        <f t="shared" si="269"/>
        <v>2.7611197166547279</v>
      </c>
      <c r="ET149" s="775">
        <f t="shared" si="270"/>
        <v>5.4294364908856467</v>
      </c>
      <c r="EU149" s="775">
        <f t="shared" si="271"/>
        <v>1.8897133484452033</v>
      </c>
      <c r="EV149" s="775">
        <f t="shared" si="272"/>
        <v>2.7124962744561807</v>
      </c>
      <c r="EW149" s="775">
        <f t="shared" si="273"/>
        <v>344.10346584183924</v>
      </c>
      <c r="EX149" s="775">
        <f t="shared" si="274"/>
        <v>55.781417772029037</v>
      </c>
      <c r="EY149" s="775">
        <f t="shared" si="307"/>
        <v>4.1237596852692464</v>
      </c>
      <c r="EZ149" s="775">
        <f t="shared" si="275"/>
        <v>1.87443622057693</v>
      </c>
      <c r="FA149" s="775">
        <f t="shared" si="276"/>
        <v>2.7357057120744006</v>
      </c>
      <c r="FB149" s="775">
        <f t="shared" si="277"/>
        <v>2.667809169469284</v>
      </c>
      <c r="FC149" s="775"/>
      <c r="FD149" s="775"/>
      <c r="FE149" s="775"/>
      <c r="FF149" s="775"/>
      <c r="FG149" s="775">
        <f>VLOOKUP(TRUE,FK141:GI240,18,FALSE)</f>
        <v>78.616914420919557</v>
      </c>
      <c r="FH149" s="756" t="s">
        <v>922</v>
      </c>
      <c r="FI149" s="775"/>
      <c r="FJ149" s="775"/>
      <c r="FK149" s="775" t="b">
        <f t="shared" si="308"/>
        <v>0</v>
      </c>
      <c r="FL149" s="775">
        <f t="shared" si="278"/>
        <v>4.605751305069866</v>
      </c>
      <c r="FM149" s="775">
        <v>9</v>
      </c>
      <c r="FN149" s="775">
        <f t="shared" si="309"/>
        <v>45.5</v>
      </c>
      <c r="FO149" s="673">
        <f t="shared" si="279"/>
        <v>40.894248694930134</v>
      </c>
      <c r="FP149" s="673">
        <f t="shared" si="280"/>
        <v>24.403675819467587</v>
      </c>
      <c r="FQ149" s="775" t="b">
        <f t="shared" si="281"/>
        <v>0</v>
      </c>
      <c r="FR149" s="673"/>
      <c r="FS149" s="775">
        <f t="shared" si="282"/>
        <v>40.894248694930134</v>
      </c>
      <c r="FT149" s="775">
        <f t="shared" si="283"/>
        <v>5.0678304270069412E-2</v>
      </c>
      <c r="FU149" s="775">
        <f t="shared" si="284"/>
        <v>5.9699313026920905E-3</v>
      </c>
      <c r="FV149" s="775">
        <f t="shared" si="285"/>
        <v>1.7632508243483007</v>
      </c>
      <c r="FW149" s="775">
        <f t="shared" si="286"/>
        <v>0.90960193839910874</v>
      </c>
      <c r="FX149" s="775">
        <f t="shared" si="287"/>
        <v>51.433932252275397</v>
      </c>
      <c r="FY149" s="775">
        <f t="shared" si="288"/>
        <v>87.793611319103292</v>
      </c>
      <c r="FZ149" s="775">
        <f t="shared" si="289"/>
        <v>31.302921475266235</v>
      </c>
      <c r="GA149" s="775">
        <f t="shared" si="290"/>
        <v>47.761541158353076</v>
      </c>
      <c r="GB149" s="775">
        <f t="shared" si="291"/>
        <v>71.152339195177447</v>
      </c>
      <c r="GC149" s="775">
        <f t="shared" si="292"/>
        <v>2.897411713939162</v>
      </c>
      <c r="GD149" s="775">
        <f t="shared" si="293"/>
        <v>8.1602376895481346</v>
      </c>
      <c r="GE149" s="775">
        <f t="shared" si="294"/>
        <v>3.7091989497946063</v>
      </c>
      <c r="GF149" s="775">
        <f t="shared" si="295"/>
        <v>42.727887905473956</v>
      </c>
      <c r="GG149" s="775">
        <f t="shared" si="296"/>
        <v>40.894248694930134</v>
      </c>
    </row>
    <row r="150" spans="70:189" ht="15.5">
      <c r="BR150" s="775"/>
      <c r="BS150" s="775"/>
      <c r="BT150" s="775"/>
      <c r="BU150" s="775">
        <f>VLOOKUP(TRUE,BY141:CW240,19,FALSE)</f>
        <v>123.48904046785402</v>
      </c>
      <c r="BV150" s="756" t="s">
        <v>1524</v>
      </c>
      <c r="BW150" s="775"/>
      <c r="BX150" s="775"/>
      <c r="BY150" s="775" t="b">
        <f t="shared" si="297"/>
        <v>0</v>
      </c>
      <c r="BZ150" s="775">
        <f t="shared" si="229"/>
        <v>2.1636484468447255</v>
      </c>
      <c r="CA150" s="775">
        <v>10</v>
      </c>
      <c r="CB150" s="775">
        <f t="shared" si="310"/>
        <v>5</v>
      </c>
      <c r="CC150" s="673">
        <f t="shared" si="230"/>
        <v>2.8363515531552745</v>
      </c>
      <c r="CD150" s="91">
        <f t="shared" si="228"/>
        <v>2</v>
      </c>
      <c r="CE150" s="775" t="b">
        <f t="shared" si="231"/>
        <v>0</v>
      </c>
      <c r="CF150" s="673"/>
      <c r="CG150" s="775">
        <f t="shared" si="232"/>
        <v>2.8363515531552745</v>
      </c>
      <c r="CH150" s="775">
        <f t="shared" si="233"/>
        <v>0.24827711667705646</v>
      </c>
      <c r="CI150" s="775">
        <f t="shared" si="234"/>
        <v>1.6605754462145916E-2</v>
      </c>
      <c r="CJ150" s="775">
        <f t="shared" si="235"/>
        <v>3.9701674836230314</v>
      </c>
      <c r="CK150" s="775">
        <f t="shared" si="236"/>
        <v>2.2440064224525638</v>
      </c>
      <c r="CL150" s="775">
        <f t="shared" si="237"/>
        <v>2.8333212730077624</v>
      </c>
      <c r="CM150" s="775">
        <f t="shared" si="238"/>
        <v>5.5714128646000223</v>
      </c>
      <c r="CN150" s="775">
        <f t="shared" si="239"/>
        <v>1.9165292454008185</v>
      </c>
      <c r="CO150" s="775">
        <f t="shared" si="240"/>
        <v>2.7494656544956753</v>
      </c>
      <c r="CP150" s="775">
        <f t="shared" si="241"/>
        <v>310.34639584632055</v>
      </c>
      <c r="CQ150" s="775">
        <f t="shared" si="242"/>
        <v>50.309176393776987</v>
      </c>
      <c r="CR150" s="775">
        <f t="shared" si="298"/>
        <v>4.5723102281576677</v>
      </c>
      <c r="CS150" s="775">
        <f t="shared" si="243"/>
        <v>2.078322830980758</v>
      </c>
      <c r="CT150" s="775">
        <f t="shared" si="244"/>
        <v>2.8363515531552745</v>
      </c>
      <c r="CU150" s="775">
        <f t="shared" si="245"/>
        <v>2.7194409075391492</v>
      </c>
      <c r="CV150" s="775"/>
      <c r="CW150" s="775"/>
      <c r="CX150" s="775"/>
      <c r="CY150" s="775"/>
      <c r="CZ150" s="775">
        <f>VLOOKUP(TRUE,DD141:EB240,19,FALSE)</f>
        <v>3.5841013332233409</v>
      </c>
      <c r="DA150" s="756" t="s">
        <v>1524</v>
      </c>
      <c r="DB150" s="775"/>
      <c r="DC150" s="775"/>
      <c r="DD150" s="775" t="b">
        <f t="shared" si="299"/>
        <v>0</v>
      </c>
      <c r="DE150" s="775">
        <f t="shared" si="300"/>
        <v>8.4249434835213393</v>
      </c>
      <c r="DF150" s="776">
        <v>11</v>
      </c>
      <c r="DG150" s="775">
        <f t="shared" si="301"/>
        <v>45</v>
      </c>
      <c r="DH150" s="673">
        <f t="shared" si="302"/>
        <v>36.575056516478661</v>
      </c>
      <c r="DI150" s="673">
        <f t="shared" si="246"/>
        <v>19</v>
      </c>
      <c r="DJ150" s="775" t="b">
        <f t="shared" si="247"/>
        <v>0</v>
      </c>
      <c r="DK150" s="673"/>
      <c r="DL150" s="775">
        <f t="shared" si="303"/>
        <v>36.575056516478661</v>
      </c>
      <c r="DM150" s="775">
        <f t="shared" si="304"/>
        <v>5.1160492583419696E-2</v>
      </c>
      <c r="DN150" s="775">
        <f t="shared" si="305"/>
        <v>6.0267333434691787E-3</v>
      </c>
      <c r="DO150" s="775">
        <f t="shared" si="248"/>
        <v>1.7610588041804651</v>
      </c>
      <c r="DP150" s="775">
        <f t="shared" si="249"/>
        <v>0.90902420477364743</v>
      </c>
      <c r="DQ150" s="775">
        <f t="shared" si="250"/>
        <v>39.95028865819436</v>
      </c>
      <c r="DR150" s="775">
        <f t="shared" si="251"/>
        <v>68.191949574073874</v>
      </c>
      <c r="DS150" s="775">
        <f t="shared" si="252"/>
        <v>31.242047139971259</v>
      </c>
      <c r="DT150" s="775">
        <f t="shared" si="253"/>
        <v>47.675964486000751</v>
      </c>
      <c r="DU150" s="775">
        <f t="shared" si="254"/>
        <v>71.82933158712126</v>
      </c>
      <c r="DV150" s="775">
        <f t="shared" si="255"/>
        <v>2.9249796858267065</v>
      </c>
      <c r="DW150" s="775">
        <f t="shared" si="256"/>
        <v>22.188996678423308</v>
      </c>
      <c r="DX150" s="775">
        <f t="shared" si="257"/>
        <v>10.085907581101504</v>
      </c>
      <c r="DY150" s="775">
        <f t="shared" si="258"/>
        <v>36.575056516478661</v>
      </c>
      <c r="DZ150" s="775">
        <f t="shared" si="259"/>
        <v>40.850118989075469</v>
      </c>
      <c r="EA150" s="775"/>
      <c r="EB150" s="775">
        <f>VLOOKUP(TRUE,EF141:FD240,19,FALSE)</f>
        <v>123.48904046785402</v>
      </c>
      <c r="EC150" s="756" t="s">
        <v>1524</v>
      </c>
      <c r="ED150" s="775"/>
      <c r="EE150" s="775"/>
      <c r="EF150" s="775" t="b">
        <f t="shared" si="306"/>
        <v>0</v>
      </c>
      <c r="EG150" s="775">
        <f t="shared" si="260"/>
        <v>2.1636484468447255</v>
      </c>
      <c r="EH150" s="775">
        <v>10</v>
      </c>
      <c r="EI150" s="775">
        <f t="shared" si="311"/>
        <v>5</v>
      </c>
      <c r="EJ150" s="673">
        <f t="shared" si="261"/>
        <v>2.8363515531552745</v>
      </c>
      <c r="EK150" s="673">
        <f t="shared" si="262"/>
        <v>2.2510196371999172</v>
      </c>
      <c r="EL150" s="775" t="b">
        <f t="shared" si="263"/>
        <v>0</v>
      </c>
      <c r="EM150" s="673"/>
      <c r="EN150" s="775">
        <f t="shared" si="264"/>
        <v>2.8363515531552745</v>
      </c>
      <c r="EO150" s="775">
        <f t="shared" si="265"/>
        <v>0.24827711667705646</v>
      </c>
      <c r="EP150" s="775">
        <f t="shared" si="266"/>
        <v>1.6605754462145916E-2</v>
      </c>
      <c r="EQ150" s="775">
        <f t="shared" si="267"/>
        <v>3.9701674836230314</v>
      </c>
      <c r="ER150" s="775">
        <f t="shared" si="268"/>
        <v>2.2440064224525638</v>
      </c>
      <c r="ES150" s="775">
        <f t="shared" si="269"/>
        <v>2.8333212730077624</v>
      </c>
      <c r="ET150" s="775">
        <f t="shared" si="270"/>
        <v>5.5714128646000223</v>
      </c>
      <c r="EU150" s="775">
        <f t="shared" si="271"/>
        <v>1.9165292454008185</v>
      </c>
      <c r="EV150" s="775">
        <f t="shared" si="272"/>
        <v>2.7494656544956753</v>
      </c>
      <c r="EW150" s="775">
        <f t="shared" si="273"/>
        <v>310.34639584632055</v>
      </c>
      <c r="EX150" s="775">
        <f t="shared" si="274"/>
        <v>50.309176393776987</v>
      </c>
      <c r="EY150" s="775">
        <f t="shared" si="307"/>
        <v>4.5723102281576677</v>
      </c>
      <c r="EZ150" s="775">
        <f t="shared" si="275"/>
        <v>2.078322830980758</v>
      </c>
      <c r="FA150" s="775">
        <f t="shared" si="276"/>
        <v>2.8363515531552745</v>
      </c>
      <c r="FB150" s="775">
        <f t="shared" si="277"/>
        <v>2.7194409075391492</v>
      </c>
      <c r="FC150" s="775"/>
      <c r="FD150" s="775"/>
      <c r="FE150" s="775"/>
      <c r="FF150" s="775"/>
      <c r="FG150" s="775">
        <f>VLOOKUP(TRUE,FK141:GI240,19,FALSE)</f>
        <v>3.2013784976497828</v>
      </c>
      <c r="FH150" s="756" t="s">
        <v>1524</v>
      </c>
      <c r="FI150" s="775"/>
      <c r="FJ150" s="775"/>
      <c r="FK150" s="775" t="b">
        <f t="shared" si="308"/>
        <v>0</v>
      </c>
      <c r="FL150" s="775">
        <f t="shared" si="278"/>
        <v>4.1498810109245312</v>
      </c>
      <c r="FM150" s="775">
        <v>10</v>
      </c>
      <c r="FN150" s="775">
        <f t="shared" si="309"/>
        <v>45</v>
      </c>
      <c r="FO150" s="673">
        <f t="shared" si="279"/>
        <v>40.850118989075469</v>
      </c>
      <c r="FP150" s="673">
        <f t="shared" si="280"/>
        <v>24.403675819467587</v>
      </c>
      <c r="FQ150" s="775" t="b">
        <f t="shared" si="281"/>
        <v>0</v>
      </c>
      <c r="FR150" s="673"/>
      <c r="FS150" s="775">
        <f t="shared" si="282"/>
        <v>40.850118989075469</v>
      </c>
      <c r="FT150" s="775">
        <f t="shared" si="283"/>
        <v>5.1160492583419696E-2</v>
      </c>
      <c r="FU150" s="775">
        <f t="shared" si="284"/>
        <v>6.0267333434691787E-3</v>
      </c>
      <c r="FV150" s="775">
        <f t="shared" si="285"/>
        <v>1.7610588041804651</v>
      </c>
      <c r="FW150" s="775">
        <f t="shared" si="286"/>
        <v>0.90902420477364743</v>
      </c>
      <c r="FX150" s="775">
        <f t="shared" si="287"/>
        <v>51.312310174143576</v>
      </c>
      <c r="FY150" s="775">
        <f t="shared" si="288"/>
        <v>87.586012152798929</v>
      </c>
      <c r="FZ150" s="775">
        <f t="shared" si="289"/>
        <v>31.242047139971259</v>
      </c>
      <c r="GA150" s="775">
        <f t="shared" si="290"/>
        <v>47.675964486000751</v>
      </c>
      <c r="GB150" s="775">
        <f t="shared" si="291"/>
        <v>71.82933158712126</v>
      </c>
      <c r="GC150" s="775">
        <f t="shared" si="292"/>
        <v>2.9249796858267065</v>
      </c>
      <c r="GD150" s="775">
        <f t="shared" si="293"/>
        <v>8.0833273423374461</v>
      </c>
      <c r="GE150" s="775">
        <f t="shared" si="294"/>
        <v>3.6742397010624752</v>
      </c>
      <c r="GF150" s="775">
        <f t="shared" si="295"/>
        <v>42.668984924958032</v>
      </c>
      <c r="GG150" s="775">
        <f t="shared" si="296"/>
        <v>40.850118989075469</v>
      </c>
    </row>
    <row r="151" spans="70:189" ht="15.5">
      <c r="BR151" s="775"/>
      <c r="BS151" s="775"/>
      <c r="BT151" s="775"/>
      <c r="BU151" s="775"/>
      <c r="BV151" s="756"/>
      <c r="BW151" s="775"/>
      <c r="BX151" s="775"/>
      <c r="BY151" s="775" t="b">
        <f t="shared" si="297"/>
        <v>0</v>
      </c>
      <c r="BZ151" s="775">
        <f t="shared" si="229"/>
        <v>2.5705237496418225</v>
      </c>
      <c r="CA151" s="775">
        <v>11</v>
      </c>
      <c r="CB151" s="775">
        <f t="shared" si="310"/>
        <v>5.5</v>
      </c>
      <c r="CC151" s="673">
        <f t="shared" si="230"/>
        <v>2.9294762503581775</v>
      </c>
      <c r="CD151" s="91">
        <f t="shared" si="228"/>
        <v>2</v>
      </c>
      <c r="CE151" s="775" t="b">
        <f t="shared" si="231"/>
        <v>0</v>
      </c>
      <c r="CF151" s="673"/>
      <c r="CG151" s="775">
        <f t="shared" si="232"/>
        <v>2.9294762503581775</v>
      </c>
      <c r="CH151" s="775">
        <f t="shared" si="233"/>
        <v>0.22613712251619456</v>
      </c>
      <c r="CI151" s="775">
        <f t="shared" si="234"/>
        <v>1.5124944181483461E-2</v>
      </c>
      <c r="CJ151" s="775">
        <f t="shared" si="235"/>
        <v>4.0670138107039113</v>
      </c>
      <c r="CK151" s="775">
        <f t="shared" si="236"/>
        <v>2.2746634314079071</v>
      </c>
      <c r="CL151" s="775">
        <f t="shared" si="237"/>
        <v>2.9002606500632138</v>
      </c>
      <c r="CM151" s="775">
        <f t="shared" si="238"/>
        <v>5.7030417448219755</v>
      </c>
      <c r="CN151" s="775">
        <f t="shared" si="239"/>
        <v>1.941068876268049</v>
      </c>
      <c r="CO151" s="775">
        <f t="shared" si="240"/>
        <v>2.7833056827053224</v>
      </c>
      <c r="CP151" s="775">
        <f t="shared" si="241"/>
        <v>282.67140314524318</v>
      </c>
      <c r="CQ151" s="775">
        <f t="shared" si="242"/>
        <v>45.82287944259717</v>
      </c>
      <c r="CR151" s="775">
        <f t="shared" si="298"/>
        <v>5.0199630532519217</v>
      </c>
      <c r="CS151" s="775">
        <f t="shared" si="243"/>
        <v>2.2818013878417824</v>
      </c>
      <c r="CT151" s="775">
        <f t="shared" si="244"/>
        <v>2.9294762503581775</v>
      </c>
      <c r="CU151" s="775">
        <f t="shared" si="245"/>
        <v>2.7666541714576156</v>
      </c>
      <c r="CV151" s="775"/>
      <c r="CW151" s="775"/>
      <c r="CX151" s="775"/>
      <c r="CY151" s="775"/>
      <c r="CZ151" s="775"/>
      <c r="DA151" s="756"/>
      <c r="DB151" s="775"/>
      <c r="DC151" s="775"/>
      <c r="DD151" s="775" t="b">
        <f t="shared" si="299"/>
        <v>0</v>
      </c>
      <c r="DE151" s="775">
        <f t="shared" si="300"/>
        <v>7.9816722031794853</v>
      </c>
      <c r="DF151" s="776">
        <v>12</v>
      </c>
      <c r="DG151" s="775">
        <f t="shared" si="301"/>
        <v>44.5</v>
      </c>
      <c r="DH151" s="673">
        <f t="shared" si="302"/>
        <v>36.518327796820515</v>
      </c>
      <c r="DI151" s="673">
        <f t="shared" si="246"/>
        <v>19</v>
      </c>
      <c r="DJ151" s="775" t="b">
        <f t="shared" si="247"/>
        <v>0</v>
      </c>
      <c r="DK151" s="673"/>
      <c r="DL151" s="775">
        <f t="shared" si="303"/>
        <v>36.518327796820515</v>
      </c>
      <c r="DM151" s="775">
        <f t="shared" si="304"/>
        <v>5.1652733803714886E-2</v>
      </c>
      <c r="DN151" s="775">
        <f t="shared" si="305"/>
        <v>6.0847196220521257E-3</v>
      </c>
      <c r="DO151" s="775">
        <f t="shared" si="248"/>
        <v>1.7588283771416604</v>
      </c>
      <c r="DP151" s="775">
        <f t="shared" si="249"/>
        <v>0.90843556030658767</v>
      </c>
      <c r="DQ151" s="775">
        <f t="shared" si="250"/>
        <v>39.85476685450616</v>
      </c>
      <c r="DR151" s="775">
        <f t="shared" si="251"/>
        <v>68.028901490089766</v>
      </c>
      <c r="DS151" s="775">
        <f t="shared" si="252"/>
        <v>31.180592651577282</v>
      </c>
      <c r="DT151" s="775">
        <f t="shared" si="253"/>
        <v>47.589553670434604</v>
      </c>
      <c r="DU151" s="775">
        <f t="shared" si="254"/>
        <v>72.520438260415702</v>
      </c>
      <c r="DV151" s="775">
        <f t="shared" si="255"/>
        <v>2.9531224087987793</v>
      </c>
      <c r="DW151" s="775">
        <f t="shared" si="256"/>
        <v>21.97753954928821</v>
      </c>
      <c r="DX151" s="775">
        <f t="shared" si="257"/>
        <v>9.9897907042219121</v>
      </c>
      <c r="DY151" s="775">
        <f t="shared" si="258"/>
        <v>36.518327796820515</v>
      </c>
      <c r="DZ151" s="775">
        <f t="shared" si="259"/>
        <v>40.805492223310878</v>
      </c>
      <c r="EA151" s="775"/>
      <c r="EB151" s="775"/>
      <c r="EC151" s="756"/>
      <c r="ED151" s="775"/>
      <c r="EE151" s="775"/>
      <c r="EF151" s="775" t="b">
        <f t="shared" si="306"/>
        <v>0</v>
      </c>
      <c r="EG151" s="775">
        <f t="shared" si="260"/>
        <v>2.5705237496418225</v>
      </c>
      <c r="EH151" s="775">
        <v>11</v>
      </c>
      <c r="EI151" s="775">
        <f t="shared" si="311"/>
        <v>5.5</v>
      </c>
      <c r="EJ151" s="673">
        <f t="shared" si="261"/>
        <v>2.9294762503581775</v>
      </c>
      <c r="EK151" s="673">
        <f t="shared" si="262"/>
        <v>2.2510196371999172</v>
      </c>
      <c r="EL151" s="775" t="b">
        <f t="shared" si="263"/>
        <v>0</v>
      </c>
      <c r="EM151" s="673"/>
      <c r="EN151" s="775">
        <f t="shared" si="264"/>
        <v>2.9294762503581775</v>
      </c>
      <c r="EO151" s="775">
        <f t="shared" si="265"/>
        <v>0.22613712251619456</v>
      </c>
      <c r="EP151" s="775">
        <f t="shared" si="266"/>
        <v>1.5124944181483461E-2</v>
      </c>
      <c r="EQ151" s="775">
        <f t="shared" si="267"/>
        <v>4.0670138107039113</v>
      </c>
      <c r="ER151" s="775">
        <f t="shared" si="268"/>
        <v>2.2746634314079071</v>
      </c>
      <c r="ES151" s="775">
        <f t="shared" si="269"/>
        <v>2.9002606500632138</v>
      </c>
      <c r="ET151" s="775">
        <f t="shared" si="270"/>
        <v>5.7030417448219755</v>
      </c>
      <c r="EU151" s="775">
        <f t="shared" si="271"/>
        <v>1.941068876268049</v>
      </c>
      <c r="EV151" s="775">
        <f t="shared" si="272"/>
        <v>2.7833056827053224</v>
      </c>
      <c r="EW151" s="775">
        <f t="shared" si="273"/>
        <v>282.67140314524318</v>
      </c>
      <c r="EX151" s="775">
        <f t="shared" si="274"/>
        <v>45.82287944259717</v>
      </c>
      <c r="EY151" s="775">
        <f t="shared" si="307"/>
        <v>5.0199630532519217</v>
      </c>
      <c r="EZ151" s="775">
        <f t="shared" si="275"/>
        <v>2.2818013878417824</v>
      </c>
      <c r="FA151" s="775">
        <f t="shared" si="276"/>
        <v>2.9294762503581775</v>
      </c>
      <c r="FB151" s="775">
        <f t="shared" si="277"/>
        <v>2.7666541714576156</v>
      </c>
      <c r="FC151" s="775"/>
      <c r="FD151" s="775"/>
      <c r="FE151" s="775"/>
      <c r="FF151" s="775"/>
      <c r="FG151" s="775"/>
      <c r="FH151" s="756"/>
      <c r="FI151" s="775"/>
      <c r="FJ151" s="775"/>
      <c r="FK151" s="775" t="b">
        <f t="shared" si="308"/>
        <v>0</v>
      </c>
      <c r="FL151" s="775">
        <f t="shared" si="278"/>
        <v>3.6945077766891217</v>
      </c>
      <c r="FM151" s="775">
        <v>11</v>
      </c>
      <c r="FN151" s="775">
        <f t="shared" si="309"/>
        <v>44.5</v>
      </c>
      <c r="FO151" s="673">
        <f t="shared" si="279"/>
        <v>40.805492223310878</v>
      </c>
      <c r="FP151" s="673">
        <f t="shared" si="280"/>
        <v>24.403675819467587</v>
      </c>
      <c r="FQ151" s="775" t="b">
        <f t="shared" si="281"/>
        <v>0</v>
      </c>
      <c r="FR151" s="673"/>
      <c r="FS151" s="775">
        <f t="shared" si="282"/>
        <v>40.805492223310878</v>
      </c>
      <c r="FT151" s="775">
        <f t="shared" si="283"/>
        <v>5.1652733803714886E-2</v>
      </c>
      <c r="FU151" s="775">
        <f t="shared" si="284"/>
        <v>6.0847196220521257E-3</v>
      </c>
      <c r="FV151" s="775">
        <f t="shared" si="285"/>
        <v>1.7588283771416604</v>
      </c>
      <c r="FW151" s="775">
        <f t="shared" si="286"/>
        <v>0.90843556030658767</v>
      </c>
      <c r="FX151" s="775">
        <f t="shared" si="287"/>
        <v>51.189621588306849</v>
      </c>
      <c r="FY151" s="775">
        <f t="shared" si="288"/>
        <v>87.376592543086645</v>
      </c>
      <c r="FZ151" s="775">
        <f t="shared" si="289"/>
        <v>31.180592651577282</v>
      </c>
      <c r="GA151" s="775">
        <f t="shared" si="290"/>
        <v>47.589553670434604</v>
      </c>
      <c r="GB151" s="775">
        <f t="shared" si="291"/>
        <v>72.520438260415702</v>
      </c>
      <c r="GC151" s="775">
        <f t="shared" si="292"/>
        <v>2.9531224087987793</v>
      </c>
      <c r="GD151" s="775">
        <f t="shared" si="293"/>
        <v>8.0062946932978427</v>
      </c>
      <c r="GE151" s="775">
        <f t="shared" si="294"/>
        <v>3.6392248605899282</v>
      </c>
      <c r="GF151" s="775">
        <f t="shared" si="295"/>
        <v>42.609442535991192</v>
      </c>
      <c r="GG151" s="775">
        <f t="shared" si="296"/>
        <v>40.805492223310878</v>
      </c>
    </row>
    <row r="152" spans="70:189" ht="15.5">
      <c r="BR152" s="775"/>
      <c r="BS152" s="775"/>
      <c r="BT152" s="775"/>
      <c r="BU152" s="775"/>
      <c r="BV152" s="756"/>
      <c r="BW152" s="775"/>
      <c r="BX152" s="775"/>
      <c r="BY152" s="775" t="b">
        <f t="shared" si="297"/>
        <v>0</v>
      </c>
      <c r="BZ152" s="775">
        <f t="shared" si="229"/>
        <v>2.9837487064610841</v>
      </c>
      <c r="CA152" s="775">
        <v>12</v>
      </c>
      <c r="CB152" s="775">
        <f t="shared" si="310"/>
        <v>6</v>
      </c>
      <c r="CC152" s="673">
        <f t="shared" si="230"/>
        <v>3.0162512935389159</v>
      </c>
      <c r="CD152" s="91">
        <f t="shared" si="228"/>
        <v>2</v>
      </c>
      <c r="CE152" s="775" t="b">
        <f t="shared" si="231"/>
        <v>0</v>
      </c>
      <c r="CF152" s="673"/>
      <c r="CG152" s="775">
        <f t="shared" si="232"/>
        <v>3.0162512935389159</v>
      </c>
      <c r="CH152" s="775">
        <f t="shared" si="233"/>
        <v>0.20765341224759479</v>
      </c>
      <c r="CI152" s="775">
        <f t="shared" si="234"/>
        <v>1.3888680612863658E-2</v>
      </c>
      <c r="CJ152" s="775">
        <f t="shared" si="235"/>
        <v>4.1527337303215335</v>
      </c>
      <c r="CK152" s="775">
        <f t="shared" si="236"/>
        <v>2.3012432335192203</v>
      </c>
      <c r="CL152" s="775">
        <f t="shared" si="237"/>
        <v>2.9627515067415722</v>
      </c>
      <c r="CM152" s="775">
        <f t="shared" si="238"/>
        <v>5.8259231018126307</v>
      </c>
      <c r="CN152" s="775">
        <f t="shared" si="239"/>
        <v>1.9637082325267965</v>
      </c>
      <c r="CO152" s="775">
        <f t="shared" si="240"/>
        <v>2.8145326069437977</v>
      </c>
      <c r="CP152" s="775">
        <f t="shared" si="241"/>
        <v>259.56676530949346</v>
      </c>
      <c r="CQ152" s="775">
        <f t="shared" si="242"/>
        <v>42.077466845736666</v>
      </c>
      <c r="CR152" s="775">
        <f t="shared" si="298"/>
        <v>5.4668015695617296</v>
      </c>
      <c r="CS152" s="775">
        <f t="shared" si="243"/>
        <v>2.4849098043462403</v>
      </c>
      <c r="CT152" s="775">
        <f t="shared" si="244"/>
        <v>3.0162512935389159</v>
      </c>
      <c r="CU152" s="775">
        <f t="shared" si="245"/>
        <v>2.8101810209126938</v>
      </c>
      <c r="CV152" s="775"/>
      <c r="CW152" s="775"/>
      <c r="CX152" s="775"/>
      <c r="CY152" s="775"/>
      <c r="CZ152" s="775"/>
      <c r="DA152" s="756"/>
      <c r="DB152" s="775"/>
      <c r="DC152" s="775"/>
      <c r="DD152" s="775" t="b">
        <f t="shared" si="299"/>
        <v>0</v>
      </c>
      <c r="DE152" s="775">
        <f t="shared" si="300"/>
        <v>7.5390069188031958</v>
      </c>
      <c r="DF152" s="776">
        <v>13</v>
      </c>
      <c r="DG152" s="775">
        <f t="shared" si="301"/>
        <v>44</v>
      </c>
      <c r="DH152" s="673">
        <f t="shared" si="302"/>
        <v>36.460993081196804</v>
      </c>
      <c r="DI152" s="673">
        <f t="shared" si="246"/>
        <v>19</v>
      </c>
      <c r="DJ152" s="775" t="b">
        <f t="shared" si="247"/>
        <v>0</v>
      </c>
      <c r="DK152" s="673"/>
      <c r="DL152" s="775">
        <f t="shared" si="303"/>
        <v>36.460993081196804</v>
      </c>
      <c r="DM152" s="775">
        <f t="shared" si="304"/>
        <v>5.215535404465383E-2</v>
      </c>
      <c r="DN152" s="775">
        <f t="shared" si="305"/>
        <v>6.1439285548087847E-3</v>
      </c>
      <c r="DO152" s="775">
        <f t="shared" si="248"/>
        <v>1.7565584840774637</v>
      </c>
      <c r="DP152" s="775">
        <f t="shared" si="249"/>
        <v>0.90783568254458036</v>
      </c>
      <c r="DQ152" s="775">
        <f t="shared" si="250"/>
        <v>39.75839796344048</v>
      </c>
      <c r="DR152" s="775">
        <f t="shared" si="251"/>
        <v>67.86440749565871</v>
      </c>
      <c r="DS152" s="775">
        <f t="shared" si="252"/>
        <v>31.118545930628663</v>
      </c>
      <c r="DT152" s="775">
        <f t="shared" si="253"/>
        <v>47.502291149230842</v>
      </c>
      <c r="DU152" s="775">
        <f t="shared" si="254"/>
        <v>73.226117078693974</v>
      </c>
      <c r="DV152" s="775">
        <f t="shared" si="255"/>
        <v>2.9818585276317746</v>
      </c>
      <c r="DW152" s="775">
        <f t="shared" si="256"/>
        <v>21.765742382423024</v>
      </c>
      <c r="DX152" s="775">
        <f t="shared" si="257"/>
        <v>9.893519264737737</v>
      </c>
      <c r="DY152" s="775">
        <f t="shared" si="258"/>
        <v>36.460993081196804</v>
      </c>
      <c r="DZ152" s="775">
        <f t="shared" si="259"/>
        <v>40.760357205144985</v>
      </c>
      <c r="EA152" s="775"/>
      <c r="EB152" s="775"/>
      <c r="EC152" s="756"/>
      <c r="ED152" s="775"/>
      <c r="EE152" s="775"/>
      <c r="EF152" s="775" t="b">
        <f t="shared" si="306"/>
        <v>0</v>
      </c>
      <c r="EG152" s="775">
        <f t="shared" si="260"/>
        <v>2.9837487064610841</v>
      </c>
      <c r="EH152" s="775">
        <v>12</v>
      </c>
      <c r="EI152" s="775">
        <f t="shared" si="311"/>
        <v>6</v>
      </c>
      <c r="EJ152" s="673">
        <f t="shared" si="261"/>
        <v>3.0162512935389159</v>
      </c>
      <c r="EK152" s="673">
        <f t="shared" si="262"/>
        <v>2.2510196371999172</v>
      </c>
      <c r="EL152" s="775" t="b">
        <f t="shared" si="263"/>
        <v>0</v>
      </c>
      <c r="EM152" s="673"/>
      <c r="EN152" s="775">
        <f t="shared" si="264"/>
        <v>3.0162512935389159</v>
      </c>
      <c r="EO152" s="775">
        <f t="shared" si="265"/>
        <v>0.20765341224759479</v>
      </c>
      <c r="EP152" s="775">
        <f t="shared" si="266"/>
        <v>1.3888680612863658E-2</v>
      </c>
      <c r="EQ152" s="775">
        <f t="shared" si="267"/>
        <v>4.1527337303215335</v>
      </c>
      <c r="ER152" s="775">
        <f t="shared" si="268"/>
        <v>2.3012432335192203</v>
      </c>
      <c r="ES152" s="775">
        <f t="shared" si="269"/>
        <v>2.9627515067415722</v>
      </c>
      <c r="ET152" s="775">
        <f t="shared" si="270"/>
        <v>5.8259231018126307</v>
      </c>
      <c r="EU152" s="775">
        <f t="shared" si="271"/>
        <v>1.9637082325267965</v>
      </c>
      <c r="EV152" s="775">
        <f t="shared" si="272"/>
        <v>2.8145326069437977</v>
      </c>
      <c r="EW152" s="775">
        <f t="shared" si="273"/>
        <v>259.56676530949346</v>
      </c>
      <c r="EX152" s="775">
        <f t="shared" si="274"/>
        <v>42.077466845736666</v>
      </c>
      <c r="EY152" s="775">
        <f t="shared" si="307"/>
        <v>5.4668015695617296</v>
      </c>
      <c r="EZ152" s="775">
        <f t="shared" si="275"/>
        <v>2.4849098043462403</v>
      </c>
      <c r="FA152" s="775">
        <f t="shared" si="276"/>
        <v>3.0162512935389159</v>
      </c>
      <c r="FB152" s="775">
        <f t="shared" si="277"/>
        <v>2.8101810209126938</v>
      </c>
      <c r="FC152" s="775"/>
      <c r="FD152" s="775"/>
      <c r="FE152" s="775"/>
      <c r="FF152" s="775"/>
      <c r="FG152" s="775"/>
      <c r="FH152" s="756"/>
      <c r="FI152" s="775"/>
      <c r="FJ152" s="775"/>
      <c r="FK152" s="775" t="b">
        <f t="shared" si="308"/>
        <v>0</v>
      </c>
      <c r="FL152" s="775">
        <f t="shared" si="278"/>
        <v>3.2396427948550155</v>
      </c>
      <c r="FM152" s="775">
        <v>12</v>
      </c>
      <c r="FN152" s="775">
        <f t="shared" si="309"/>
        <v>44</v>
      </c>
      <c r="FO152" s="673">
        <f t="shared" si="279"/>
        <v>40.760357205144985</v>
      </c>
      <c r="FP152" s="673">
        <f t="shared" si="280"/>
        <v>24.403675819467587</v>
      </c>
      <c r="FQ152" s="775" t="b">
        <f t="shared" si="281"/>
        <v>0</v>
      </c>
      <c r="FR152" s="673"/>
      <c r="FS152" s="775">
        <f t="shared" si="282"/>
        <v>40.760357205144985</v>
      </c>
      <c r="FT152" s="775">
        <f t="shared" si="283"/>
        <v>5.215535404465383E-2</v>
      </c>
      <c r="FU152" s="775">
        <f t="shared" si="284"/>
        <v>6.1439285548087847E-3</v>
      </c>
      <c r="FV152" s="775">
        <f t="shared" si="285"/>
        <v>1.7565584840774637</v>
      </c>
      <c r="FW152" s="775">
        <f t="shared" si="286"/>
        <v>0.90783568254458036</v>
      </c>
      <c r="FX152" s="775">
        <f t="shared" si="287"/>
        <v>51.065845000062197</v>
      </c>
      <c r="FY152" s="775">
        <f t="shared" si="288"/>
        <v>87.165315800226395</v>
      </c>
      <c r="FZ152" s="775">
        <f t="shared" si="289"/>
        <v>31.118545930628663</v>
      </c>
      <c r="GA152" s="775">
        <f t="shared" si="290"/>
        <v>47.502291149230842</v>
      </c>
      <c r="GB152" s="775">
        <f t="shared" si="291"/>
        <v>73.226117078693974</v>
      </c>
      <c r="GC152" s="775">
        <f t="shared" si="292"/>
        <v>2.9818585276317746</v>
      </c>
      <c r="GD152" s="775">
        <f t="shared" si="293"/>
        <v>7.9291381704156807</v>
      </c>
      <c r="GE152" s="775">
        <f t="shared" si="294"/>
        <v>3.6041537138253092</v>
      </c>
      <c r="GF152" s="775">
        <f t="shared" si="295"/>
        <v>42.549246665501123</v>
      </c>
      <c r="GG152" s="775">
        <f t="shared" si="296"/>
        <v>40.760357205144985</v>
      </c>
    </row>
    <row r="153" spans="70:189" ht="15.5">
      <c r="BR153" s="775"/>
      <c r="BS153" s="775"/>
      <c r="BT153" s="775"/>
      <c r="BU153" s="775">
        <f>VLOOKUP(TRUE,BY141:CW240,20,FALSE)</f>
        <v>1.8627496085803237</v>
      </c>
      <c r="BV153" s="756" t="s">
        <v>920</v>
      </c>
      <c r="BW153" s="775"/>
      <c r="BX153" s="775"/>
      <c r="BY153" s="775" t="b">
        <f t="shared" si="297"/>
        <v>0</v>
      </c>
      <c r="BZ153" s="775">
        <f t="shared" si="229"/>
        <v>3.4024143592296889</v>
      </c>
      <c r="CA153" s="775">
        <v>13</v>
      </c>
      <c r="CB153" s="775">
        <f t="shared" si="310"/>
        <v>6.5</v>
      </c>
      <c r="CC153" s="673">
        <f t="shared" si="230"/>
        <v>3.0975856407703111</v>
      </c>
      <c r="CD153" s="91">
        <f t="shared" si="228"/>
        <v>2</v>
      </c>
      <c r="CE153" s="775" t="b">
        <f t="shared" si="231"/>
        <v>0</v>
      </c>
      <c r="CF153" s="673"/>
      <c r="CG153" s="775">
        <f t="shared" si="232"/>
        <v>3.0975856407703111</v>
      </c>
      <c r="CH153" s="775">
        <f t="shared" si="233"/>
        <v>0.191987170428321</v>
      </c>
      <c r="CI153" s="775">
        <f t="shared" si="234"/>
        <v>1.2840860465452131E-2</v>
      </c>
      <c r="CJ153" s="775">
        <f t="shared" si="235"/>
        <v>4.2291761603255953</v>
      </c>
      <c r="CK153" s="775">
        <f t="shared" si="236"/>
        <v>2.3245162353676228</v>
      </c>
      <c r="CL153" s="775">
        <f t="shared" si="237"/>
        <v>3.0214258720588063</v>
      </c>
      <c r="CM153" s="775">
        <f t="shared" si="238"/>
        <v>5.9412997507175564</v>
      </c>
      <c r="CN153" s="775">
        <f t="shared" si="239"/>
        <v>1.9847358591242905</v>
      </c>
      <c r="CO153" s="775">
        <f t="shared" si="240"/>
        <v>2.8435427002298086</v>
      </c>
      <c r="CP153" s="775">
        <f t="shared" si="241"/>
        <v>239.98396303540125</v>
      </c>
      <c r="CQ153" s="775">
        <f t="shared" si="242"/>
        <v>38.902966780398003</v>
      </c>
      <c r="CR153" s="775">
        <f t="shared" si="298"/>
        <v>5.9128951037060595</v>
      </c>
      <c r="CS153" s="775">
        <f t="shared" si="243"/>
        <v>2.6876795925936632</v>
      </c>
      <c r="CT153" s="775">
        <f t="shared" si="244"/>
        <v>3.0975856407703111</v>
      </c>
      <c r="CU153" s="775">
        <f t="shared" si="245"/>
        <v>2.8505829514675436</v>
      </c>
      <c r="CV153" s="775"/>
      <c r="CW153" s="775"/>
      <c r="CX153" s="775"/>
      <c r="CY153" s="775"/>
      <c r="CZ153" s="775">
        <f>VLOOKUP(TRUE,DD141:EB240,20,FALSE)</f>
        <v>18.10840668249044</v>
      </c>
      <c r="DA153" s="756" t="s">
        <v>920</v>
      </c>
      <c r="DB153" s="775"/>
      <c r="DC153" s="775"/>
      <c r="DD153" s="775" t="b">
        <f t="shared" si="299"/>
        <v>0</v>
      </c>
      <c r="DE153" s="775">
        <f t="shared" si="300"/>
        <v>7.0969609418606936</v>
      </c>
      <c r="DF153" s="776">
        <v>14</v>
      </c>
      <c r="DG153" s="775">
        <f t="shared" si="301"/>
        <v>43.5</v>
      </c>
      <c r="DH153" s="673">
        <f t="shared" si="302"/>
        <v>36.403039058139306</v>
      </c>
      <c r="DI153" s="673">
        <f t="shared" si="246"/>
        <v>19</v>
      </c>
      <c r="DJ153" s="775" t="b">
        <f t="shared" si="247"/>
        <v>0</v>
      </c>
      <c r="DK153" s="673"/>
      <c r="DL153" s="775">
        <f t="shared" si="303"/>
        <v>36.403039058139306</v>
      </c>
      <c r="DM153" s="775">
        <f t="shared" si="304"/>
        <v>5.266869386587851E-2</v>
      </c>
      <c r="DN153" s="775">
        <f t="shared" si="305"/>
        <v>6.2044002598468226E-3</v>
      </c>
      <c r="DO153" s="775">
        <f t="shared" si="248"/>
        <v>1.7542480255934882</v>
      </c>
      <c r="DP153" s="775">
        <f t="shared" si="249"/>
        <v>0.90722423596650359</v>
      </c>
      <c r="DQ153" s="775">
        <f t="shared" si="250"/>
        <v>39.661164717665628</v>
      </c>
      <c r="DR153" s="775">
        <f t="shared" si="251"/>
        <v>67.698438116825656</v>
      </c>
      <c r="DS153" s="775">
        <f t="shared" si="252"/>
        <v>31.055894505969487</v>
      </c>
      <c r="DT153" s="775">
        <f t="shared" si="253"/>
        <v>47.414158786291182</v>
      </c>
      <c r="DU153" s="775">
        <f t="shared" si="254"/>
        <v>73.946846187693424</v>
      </c>
      <c r="DV153" s="775">
        <f t="shared" si="255"/>
        <v>3.0112075130145839</v>
      </c>
      <c r="DW153" s="775">
        <f t="shared" si="256"/>
        <v>21.553600757421496</v>
      </c>
      <c r="DX153" s="775">
        <f t="shared" si="257"/>
        <v>9.7970912533734058</v>
      </c>
      <c r="DY153" s="775">
        <f t="shared" si="258"/>
        <v>36.403039058139306</v>
      </c>
      <c r="DZ153" s="775">
        <f t="shared" si="259"/>
        <v>40.714702360396934</v>
      </c>
      <c r="EA153" s="775"/>
      <c r="EB153" s="775">
        <f>VLOOKUP(TRUE,EF141:FD240,20,FALSE)</f>
        <v>1.8627496085803237</v>
      </c>
      <c r="EC153" s="756" t="s">
        <v>920</v>
      </c>
      <c r="ED153" s="775"/>
      <c r="EE153" s="775"/>
      <c r="EF153" s="775" t="b">
        <f t="shared" si="306"/>
        <v>0</v>
      </c>
      <c r="EG153" s="775">
        <f t="shared" si="260"/>
        <v>3.4024143592296889</v>
      </c>
      <c r="EH153" s="775">
        <v>13</v>
      </c>
      <c r="EI153" s="775">
        <f t="shared" si="311"/>
        <v>6.5</v>
      </c>
      <c r="EJ153" s="673">
        <f t="shared" si="261"/>
        <v>3.0975856407703111</v>
      </c>
      <c r="EK153" s="673">
        <f t="shared" si="262"/>
        <v>2.2510196371999172</v>
      </c>
      <c r="EL153" s="775" t="b">
        <f t="shared" si="263"/>
        <v>0</v>
      </c>
      <c r="EM153" s="673"/>
      <c r="EN153" s="775">
        <f t="shared" si="264"/>
        <v>3.0975856407703111</v>
      </c>
      <c r="EO153" s="775">
        <f t="shared" si="265"/>
        <v>0.191987170428321</v>
      </c>
      <c r="EP153" s="775">
        <f t="shared" si="266"/>
        <v>1.2840860465452131E-2</v>
      </c>
      <c r="EQ153" s="775">
        <f t="shared" si="267"/>
        <v>4.2291761603255953</v>
      </c>
      <c r="ER153" s="775">
        <f t="shared" si="268"/>
        <v>2.3245162353676228</v>
      </c>
      <c r="ES153" s="775">
        <f t="shared" si="269"/>
        <v>3.0214258720588063</v>
      </c>
      <c r="ET153" s="775">
        <f t="shared" si="270"/>
        <v>5.9412997507175564</v>
      </c>
      <c r="EU153" s="775">
        <f t="shared" si="271"/>
        <v>1.9847358591242905</v>
      </c>
      <c r="EV153" s="775">
        <f t="shared" si="272"/>
        <v>2.8435427002298086</v>
      </c>
      <c r="EW153" s="775">
        <f t="shared" si="273"/>
        <v>239.98396303540125</v>
      </c>
      <c r="EX153" s="775">
        <f t="shared" si="274"/>
        <v>38.902966780398003</v>
      </c>
      <c r="EY153" s="775">
        <f t="shared" si="307"/>
        <v>5.9128951037060595</v>
      </c>
      <c r="EZ153" s="775">
        <f t="shared" si="275"/>
        <v>2.6876795925936632</v>
      </c>
      <c r="FA153" s="775">
        <f t="shared" si="276"/>
        <v>3.0975856407703111</v>
      </c>
      <c r="FB153" s="775">
        <f t="shared" si="277"/>
        <v>2.8505829514675436</v>
      </c>
      <c r="FC153" s="775"/>
      <c r="FD153" s="775"/>
      <c r="FE153" s="775"/>
      <c r="FF153" s="775"/>
      <c r="FG153" s="775">
        <f>VLOOKUP(TRUE,FK141:GI240,20,FALSE)</f>
        <v>7.3854335835584513</v>
      </c>
      <c r="FH153" s="756" t="s">
        <v>920</v>
      </c>
      <c r="FI153" s="775"/>
      <c r="FJ153" s="775"/>
      <c r="FK153" s="775" t="b">
        <f t="shared" si="308"/>
        <v>0</v>
      </c>
      <c r="FL153" s="775">
        <f t="shared" si="278"/>
        <v>2.7852976396030655</v>
      </c>
      <c r="FM153" s="775">
        <v>13</v>
      </c>
      <c r="FN153" s="775">
        <f t="shared" si="309"/>
        <v>43.5</v>
      </c>
      <c r="FO153" s="673">
        <f t="shared" si="279"/>
        <v>40.714702360396934</v>
      </c>
      <c r="FP153" s="673">
        <f t="shared" si="280"/>
        <v>24.403675819467587</v>
      </c>
      <c r="FQ153" s="775" t="b">
        <f t="shared" si="281"/>
        <v>0</v>
      </c>
      <c r="FR153" s="673"/>
      <c r="FS153" s="775">
        <f t="shared" si="282"/>
        <v>40.714702360396934</v>
      </c>
      <c r="FT153" s="775">
        <f t="shared" si="283"/>
        <v>5.266869386587851E-2</v>
      </c>
      <c r="FU153" s="775">
        <f t="shared" si="284"/>
        <v>6.2044002598468226E-3</v>
      </c>
      <c r="FV153" s="775">
        <f t="shared" si="285"/>
        <v>1.7542480255934882</v>
      </c>
      <c r="FW153" s="775">
        <f t="shared" si="286"/>
        <v>0.90722423596650359</v>
      </c>
      <c r="FX153" s="775">
        <f t="shared" si="287"/>
        <v>50.940958231179884</v>
      </c>
      <c r="FY153" s="775">
        <f t="shared" si="288"/>
        <v>86.952144067752698</v>
      </c>
      <c r="FZ153" s="775">
        <f t="shared" si="289"/>
        <v>31.055894505969487</v>
      </c>
      <c r="GA153" s="775">
        <f t="shared" si="290"/>
        <v>47.414158786291182</v>
      </c>
      <c r="GB153" s="775">
        <f t="shared" si="291"/>
        <v>73.946846187693424</v>
      </c>
      <c r="GC153" s="775">
        <f t="shared" si="292"/>
        <v>3.0112075130145839</v>
      </c>
      <c r="GD153" s="775">
        <f t="shared" si="293"/>
        <v>7.8518561633616963</v>
      </c>
      <c r="GE153" s="775">
        <f t="shared" si="294"/>
        <v>3.5690255288007706</v>
      </c>
      <c r="GF153" s="775">
        <f t="shared" si="295"/>
        <v>42.48838276823858</v>
      </c>
      <c r="GG153" s="775">
        <f t="shared" si="296"/>
        <v>40.714702360396934</v>
      </c>
    </row>
    <row r="154" spans="70:189" ht="15.5">
      <c r="BR154" s="775"/>
      <c r="BS154" s="775"/>
      <c r="BT154" s="775"/>
      <c r="BU154" s="775">
        <f>VLOOKUP(TRUE,BY141:CW240,21,FALSE)</f>
        <v>0.84670436753651068</v>
      </c>
      <c r="BV154" s="756" t="s">
        <v>921</v>
      </c>
      <c r="BW154" s="775"/>
      <c r="BX154" s="775"/>
      <c r="BY154" s="775" t="b">
        <f t="shared" si="297"/>
        <v>0</v>
      </c>
      <c r="BZ154" s="775">
        <f t="shared" si="229"/>
        <v>3.8258001612698158</v>
      </c>
      <c r="CA154" s="775">
        <v>14</v>
      </c>
      <c r="CB154" s="775">
        <f t="shared" si="310"/>
        <v>7</v>
      </c>
      <c r="CC154" s="673">
        <f t="shared" si="230"/>
        <v>3.1741998387301842</v>
      </c>
      <c r="CD154" s="91">
        <f t="shared" si="228"/>
        <v>2</v>
      </c>
      <c r="CE154" s="775" t="b">
        <f t="shared" si="231"/>
        <v>0</v>
      </c>
      <c r="CF154" s="673"/>
      <c r="CG154" s="775">
        <f t="shared" si="232"/>
        <v>3.1741998387301842</v>
      </c>
      <c r="CH154" s="775">
        <f t="shared" si="233"/>
        <v>0.17853822722220389</v>
      </c>
      <c r="CI154" s="775">
        <f t="shared" si="234"/>
        <v>1.1941342009441462E-2</v>
      </c>
      <c r="CJ154" s="775">
        <f t="shared" si="235"/>
        <v>4.2977952616334081</v>
      </c>
      <c r="CK154" s="775">
        <f t="shared" si="236"/>
        <v>2.3450688288332429</v>
      </c>
      <c r="CL154" s="775">
        <f t="shared" si="237"/>
        <v>3.0767852940185634</v>
      </c>
      <c r="CM154" s="775">
        <f t="shared" si="238"/>
        <v>6.0501579302052626</v>
      </c>
      <c r="CN154" s="775">
        <f t="shared" si="239"/>
        <v>2.0043782108714843</v>
      </c>
      <c r="CO154" s="775">
        <f t="shared" si="240"/>
        <v>2.8706470309646828</v>
      </c>
      <c r="CP154" s="775">
        <f t="shared" si="241"/>
        <v>223.17278402775486</v>
      </c>
      <c r="CQ154" s="775">
        <f t="shared" si="242"/>
        <v>36.177764936900999</v>
      </c>
      <c r="CR154" s="775">
        <f t="shared" si="298"/>
        <v>6.3583021835831302</v>
      </c>
      <c r="CS154" s="775">
        <f t="shared" si="243"/>
        <v>2.8901373561741499</v>
      </c>
      <c r="CT154" s="775">
        <f t="shared" si="244"/>
        <v>3.1741998387301842</v>
      </c>
      <c r="CU154" s="775">
        <f t="shared" si="245"/>
        <v>2.888300413535374</v>
      </c>
      <c r="CV154" s="775"/>
      <c r="CW154" s="775"/>
      <c r="CX154" s="775"/>
      <c r="CY154" s="775"/>
      <c r="CZ154" s="775">
        <f>VLOOKUP(TRUE,DD141:EB240,21,FALSE)</f>
        <v>8.2310939465865633</v>
      </c>
      <c r="DA154" s="756" t="s">
        <v>921</v>
      </c>
      <c r="DB154" s="775"/>
      <c r="DC154" s="775"/>
      <c r="DD154" s="775" t="b">
        <f t="shared" si="299"/>
        <v>0</v>
      </c>
      <c r="DE154" s="775">
        <f t="shared" si="300"/>
        <v>6.6555480317288982</v>
      </c>
      <c r="DF154" s="776">
        <v>15</v>
      </c>
      <c r="DG154" s="775">
        <f t="shared" si="301"/>
        <v>43</v>
      </c>
      <c r="DH154" s="673">
        <f t="shared" si="302"/>
        <v>36.344451968271102</v>
      </c>
      <c r="DI154" s="673">
        <f t="shared" si="246"/>
        <v>19</v>
      </c>
      <c r="DJ154" s="775" t="b">
        <f t="shared" si="247"/>
        <v>0</v>
      </c>
      <c r="DK154" s="673"/>
      <c r="DL154" s="775">
        <f t="shared" si="303"/>
        <v>36.344451968271102</v>
      </c>
      <c r="DM154" s="775">
        <f t="shared" si="304"/>
        <v>5.3193109088163562E-2</v>
      </c>
      <c r="DN154" s="775">
        <f t="shared" si="305"/>
        <v>6.2661766530434822E-3</v>
      </c>
      <c r="DO154" s="775">
        <f t="shared" si="248"/>
        <v>1.7518958600933934</v>
      </c>
      <c r="DP154" s="775">
        <f t="shared" si="249"/>
        <v>0.90660087130654832</v>
      </c>
      <c r="DQ154" s="775">
        <f t="shared" si="250"/>
        <v>39.56304929441189</v>
      </c>
      <c r="DR154" s="775">
        <f t="shared" si="251"/>
        <v>67.530962931547236</v>
      </c>
      <c r="DS154" s="775">
        <f t="shared" si="252"/>
        <v>30.992625497383678</v>
      </c>
      <c r="DT154" s="775">
        <f t="shared" si="253"/>
        <v>47.325137846280121</v>
      </c>
      <c r="DU154" s="775">
        <f t="shared" si="254"/>
        <v>74.683125159781639</v>
      </c>
      <c r="DV154" s="775">
        <f t="shared" si="255"/>
        <v>3.0411897081551205</v>
      </c>
      <c r="DW154" s="775">
        <f t="shared" si="256"/>
        <v>21.341110144896621</v>
      </c>
      <c r="DX154" s="775">
        <f t="shared" si="257"/>
        <v>9.7005046113166458</v>
      </c>
      <c r="DY154" s="775">
        <f t="shared" si="258"/>
        <v>36.344451968271102</v>
      </c>
      <c r="DZ154" s="775">
        <f t="shared" si="259"/>
        <v>40.668515715644574</v>
      </c>
      <c r="EA154" s="775"/>
      <c r="EB154" s="775">
        <f>VLOOKUP(TRUE,EF141:FD240,21,FALSE)</f>
        <v>0.84670436753651068</v>
      </c>
      <c r="EC154" s="756" t="s">
        <v>921</v>
      </c>
      <c r="ED154" s="775"/>
      <c r="EE154" s="775"/>
      <c r="EF154" s="775" t="b">
        <f t="shared" si="306"/>
        <v>0</v>
      </c>
      <c r="EG154" s="775">
        <f t="shared" si="260"/>
        <v>3.8258001612698158</v>
      </c>
      <c r="EH154" s="775">
        <v>14</v>
      </c>
      <c r="EI154" s="775">
        <f t="shared" si="311"/>
        <v>7</v>
      </c>
      <c r="EJ154" s="673">
        <f t="shared" si="261"/>
        <v>3.1741998387301842</v>
      </c>
      <c r="EK154" s="673">
        <f t="shared" si="262"/>
        <v>2.2510196371999172</v>
      </c>
      <c r="EL154" s="775" t="b">
        <f t="shared" si="263"/>
        <v>0</v>
      </c>
      <c r="EM154" s="673"/>
      <c r="EN154" s="775">
        <f t="shared" si="264"/>
        <v>3.1741998387301842</v>
      </c>
      <c r="EO154" s="775">
        <f t="shared" si="265"/>
        <v>0.17853822722220389</v>
      </c>
      <c r="EP154" s="775">
        <f t="shared" si="266"/>
        <v>1.1941342009441462E-2</v>
      </c>
      <c r="EQ154" s="775">
        <f t="shared" si="267"/>
        <v>4.2977952616334081</v>
      </c>
      <c r="ER154" s="775">
        <f t="shared" si="268"/>
        <v>2.3450688288332429</v>
      </c>
      <c r="ES154" s="775">
        <f t="shared" si="269"/>
        <v>3.0767852940185634</v>
      </c>
      <c r="ET154" s="775">
        <f t="shared" si="270"/>
        <v>6.0501579302052626</v>
      </c>
      <c r="EU154" s="775">
        <f t="shared" si="271"/>
        <v>2.0043782108714843</v>
      </c>
      <c r="EV154" s="775">
        <f t="shared" si="272"/>
        <v>2.8706470309646828</v>
      </c>
      <c r="EW154" s="775">
        <f t="shared" si="273"/>
        <v>223.17278402775486</v>
      </c>
      <c r="EX154" s="775">
        <f t="shared" si="274"/>
        <v>36.177764936900999</v>
      </c>
      <c r="EY154" s="775">
        <f t="shared" si="307"/>
        <v>6.3583021835831302</v>
      </c>
      <c r="EZ154" s="775">
        <f t="shared" si="275"/>
        <v>2.8901373561741499</v>
      </c>
      <c r="FA154" s="775">
        <f t="shared" si="276"/>
        <v>3.1741998387301842</v>
      </c>
      <c r="FB154" s="775">
        <f t="shared" si="277"/>
        <v>2.888300413535374</v>
      </c>
      <c r="FC154" s="775"/>
      <c r="FD154" s="775"/>
      <c r="FE154" s="775"/>
      <c r="FF154" s="775"/>
      <c r="FG154" s="775">
        <f>VLOOKUP(TRUE,FK141:GI240,21,FALSE)</f>
        <v>3.3570152652538412</v>
      </c>
      <c r="FH154" s="756" t="s">
        <v>921</v>
      </c>
      <c r="FI154" s="775"/>
      <c r="FJ154" s="775"/>
      <c r="FK154" s="775" t="b">
        <f t="shared" si="308"/>
        <v>0</v>
      </c>
      <c r="FL154" s="775">
        <f t="shared" si="278"/>
        <v>2.331484284355426</v>
      </c>
      <c r="FM154" s="775">
        <v>14</v>
      </c>
      <c r="FN154" s="775">
        <f t="shared" si="309"/>
        <v>43</v>
      </c>
      <c r="FO154" s="673">
        <f t="shared" si="279"/>
        <v>40.668515715644574</v>
      </c>
      <c r="FP154" s="673">
        <f t="shared" si="280"/>
        <v>24.403675819467587</v>
      </c>
      <c r="FQ154" s="775" t="b">
        <f t="shared" si="281"/>
        <v>0</v>
      </c>
      <c r="FR154" s="673"/>
      <c r="FS154" s="775">
        <f t="shared" si="282"/>
        <v>40.668515715644574</v>
      </c>
      <c r="FT154" s="775">
        <f t="shared" si="283"/>
        <v>5.3193109088163562E-2</v>
      </c>
      <c r="FU154" s="775">
        <f t="shared" si="284"/>
        <v>6.2661766530434822E-3</v>
      </c>
      <c r="FV154" s="775">
        <f t="shared" si="285"/>
        <v>1.7518958600933934</v>
      </c>
      <c r="FW154" s="775">
        <f t="shared" si="286"/>
        <v>0.90660087130654832</v>
      </c>
      <c r="FX154" s="775">
        <f t="shared" si="287"/>
        <v>50.81493839002335</v>
      </c>
      <c r="FY154" s="775">
        <f t="shared" si="288"/>
        <v>86.737038271471647</v>
      </c>
      <c r="FZ154" s="775">
        <f t="shared" si="289"/>
        <v>30.992625497383678</v>
      </c>
      <c r="GA154" s="775">
        <f t="shared" si="290"/>
        <v>47.325137846280121</v>
      </c>
      <c r="GB154" s="775">
        <f t="shared" si="291"/>
        <v>74.683125159781639</v>
      </c>
      <c r="GC154" s="775">
        <f t="shared" si="292"/>
        <v>3.0411897081551205</v>
      </c>
      <c r="GD154" s="775">
        <f t="shared" si="293"/>
        <v>7.7744470221055435</v>
      </c>
      <c r="GE154" s="775">
        <f t="shared" si="294"/>
        <v>3.5338395555025195</v>
      </c>
      <c r="GF154" s="775">
        <f t="shared" si="295"/>
        <v>42.426835805337063</v>
      </c>
      <c r="GG154" s="775">
        <f t="shared" si="296"/>
        <v>40.668515715644574</v>
      </c>
    </row>
    <row r="155" spans="70:189" ht="15.5">
      <c r="BR155" s="775"/>
      <c r="BS155" s="775"/>
      <c r="BT155" s="775"/>
      <c r="BU155" s="775">
        <f>VLOOKUP(TRUE,BY141:CW240,22,FALSE)</f>
        <v>2.036481703304891</v>
      </c>
      <c r="BV155" s="756" t="s">
        <v>751</v>
      </c>
      <c r="BW155" s="775"/>
      <c r="BX155" s="775"/>
      <c r="BY155" s="775" t="b">
        <f t="shared" si="297"/>
        <v>0</v>
      </c>
      <c r="BZ155" s="775">
        <f t="shared" si="229"/>
        <v>4.2533245022920383</v>
      </c>
      <c r="CA155" s="775">
        <v>15</v>
      </c>
      <c r="CB155" s="775">
        <f t="shared" si="310"/>
        <v>7.5</v>
      </c>
      <c r="CC155" s="673">
        <f t="shared" si="230"/>
        <v>3.2466754977079622</v>
      </c>
      <c r="CD155" s="91">
        <f t="shared" si="228"/>
        <v>2</v>
      </c>
      <c r="CE155" s="775" t="b">
        <f t="shared" si="231"/>
        <v>0</v>
      </c>
      <c r="CF155" s="673"/>
      <c r="CG155" s="775">
        <f t="shared" si="232"/>
        <v>3.2466754977079622</v>
      </c>
      <c r="CH155" s="775">
        <f t="shared" si="233"/>
        <v>0.16686577093079455</v>
      </c>
      <c r="CI155" s="775">
        <f t="shared" si="234"/>
        <v>1.1160642016870677E-2</v>
      </c>
      <c r="CJ155" s="775">
        <f t="shared" si="235"/>
        <v>4.3597519881651339</v>
      </c>
      <c r="CK155" s="775">
        <f t="shared" si="236"/>
        <v>2.3633555728235227</v>
      </c>
      <c r="CL155" s="775">
        <f t="shared" si="237"/>
        <v>3.1292350124745871</v>
      </c>
      <c r="CM155" s="775">
        <f t="shared" si="238"/>
        <v>6.1532944996209622</v>
      </c>
      <c r="CN155" s="775">
        <f t="shared" si="239"/>
        <v>2.022816402411908</v>
      </c>
      <c r="CO155" s="775">
        <f t="shared" si="240"/>
        <v>2.8960944360481364</v>
      </c>
      <c r="CP155" s="775">
        <f t="shared" si="241"/>
        <v>208.58221366349318</v>
      </c>
      <c r="CQ155" s="775">
        <f t="shared" si="242"/>
        <v>33.81253824838182</v>
      </c>
      <c r="CR155" s="775">
        <f t="shared" si="298"/>
        <v>6.8030728750883833</v>
      </c>
      <c r="CS155" s="775">
        <f t="shared" si="243"/>
        <v>3.0923058523129012</v>
      </c>
      <c r="CT155" s="775">
        <f t="shared" si="244"/>
        <v>3.2466754977079622</v>
      </c>
      <c r="CU155" s="775">
        <f t="shared" si="245"/>
        <v>2.9236855079202213</v>
      </c>
      <c r="CV155" s="775"/>
      <c r="CW155" s="775"/>
      <c r="CX155" s="775"/>
      <c r="CY155" s="775"/>
      <c r="CZ155" s="775">
        <f>VLOOKUP(TRUE,DD141:EB240,22,FALSE)</f>
        <v>35.378675908589429</v>
      </c>
      <c r="DA155" s="756" t="s">
        <v>751</v>
      </c>
      <c r="DB155" s="775"/>
      <c r="DC155" s="775"/>
      <c r="DD155" s="775" t="b">
        <f t="shared" si="299"/>
        <v>0</v>
      </c>
      <c r="DE155" s="775">
        <f t="shared" si="300"/>
        <v>6.2147824161399043</v>
      </c>
      <c r="DF155" s="776">
        <v>16</v>
      </c>
      <c r="DG155" s="775">
        <f t="shared" si="301"/>
        <v>42.5</v>
      </c>
      <c r="DH155" s="673">
        <f t="shared" si="302"/>
        <v>36.285217583860096</v>
      </c>
      <c r="DI155" s="673">
        <f t="shared" si="246"/>
        <v>19</v>
      </c>
      <c r="DJ155" s="775" t="b">
        <f t="shared" si="247"/>
        <v>0</v>
      </c>
      <c r="DK155" s="673"/>
      <c r="DL155" s="775">
        <f t="shared" si="303"/>
        <v>36.285217583860096</v>
      </c>
      <c r="DM155" s="775">
        <f t="shared" si="304"/>
        <v>5.3728971664730542E-2</v>
      </c>
      <c r="DN155" s="775">
        <f t="shared" si="305"/>
        <v>6.3293015506868675E-3</v>
      </c>
      <c r="DO155" s="775">
        <f t="shared" si="248"/>
        <v>1.7495008016994233</v>
      </c>
      <c r="DP155" s="775">
        <f t="shared" si="249"/>
        <v>0.90596522483440611</v>
      </c>
      <c r="DQ155" s="775">
        <f t="shared" si="250"/>
        <v>39.464033290907224</v>
      </c>
      <c r="DR155" s="775">
        <f t="shared" si="251"/>
        <v>67.36195052776246</v>
      </c>
      <c r="DS155" s="775">
        <f t="shared" si="252"/>
        <v>30.928725597254264</v>
      </c>
      <c r="DT155" s="775">
        <f t="shared" si="253"/>
        <v>47.235208967611371</v>
      </c>
      <c r="DU155" s="775">
        <f t="shared" si="254"/>
        <v>75.435476217281675</v>
      </c>
      <c r="DV155" s="775">
        <f t="shared" si="255"/>
        <v>3.0718263785956461</v>
      </c>
      <c r="DW155" s="775">
        <f t="shared" si="256"/>
        <v>21.128265902494139</v>
      </c>
      <c r="DX155" s="775">
        <f t="shared" si="257"/>
        <v>9.6037572284064261</v>
      </c>
      <c r="DY155" s="775">
        <f t="shared" si="258"/>
        <v>36.285217583860096</v>
      </c>
      <c r="DZ155" s="775">
        <f t="shared" si="259"/>
        <v>40.621784879651727</v>
      </c>
      <c r="EA155" s="775"/>
      <c r="EB155" s="775">
        <f>VLOOKUP(TRUE,EF141:FD240,22,FALSE)</f>
        <v>2.036481703304891</v>
      </c>
      <c r="EC155" s="756" t="s">
        <v>751</v>
      </c>
      <c r="ED155" s="775"/>
      <c r="EE155" s="775"/>
      <c r="EF155" s="775" t="b">
        <f t="shared" si="306"/>
        <v>0</v>
      </c>
      <c r="EG155" s="775">
        <f t="shared" si="260"/>
        <v>4.2533245022920383</v>
      </c>
      <c r="EH155" s="775">
        <v>15</v>
      </c>
      <c r="EI155" s="775">
        <f t="shared" si="311"/>
        <v>7.5</v>
      </c>
      <c r="EJ155" s="673">
        <f t="shared" si="261"/>
        <v>3.2466754977079622</v>
      </c>
      <c r="EK155" s="673">
        <f t="shared" si="262"/>
        <v>2.2510196371999172</v>
      </c>
      <c r="EL155" s="775" t="b">
        <f t="shared" si="263"/>
        <v>0</v>
      </c>
      <c r="EM155" s="673"/>
      <c r="EN155" s="775">
        <f t="shared" si="264"/>
        <v>3.2466754977079622</v>
      </c>
      <c r="EO155" s="775">
        <f t="shared" si="265"/>
        <v>0.16686577093079455</v>
      </c>
      <c r="EP155" s="775">
        <f t="shared" si="266"/>
        <v>1.1160642016870677E-2</v>
      </c>
      <c r="EQ155" s="775">
        <f t="shared" si="267"/>
        <v>4.3597519881651339</v>
      </c>
      <c r="ER155" s="775">
        <f t="shared" si="268"/>
        <v>2.3633555728235227</v>
      </c>
      <c r="ES155" s="775">
        <f t="shared" si="269"/>
        <v>3.1292350124745871</v>
      </c>
      <c r="ET155" s="775">
        <f t="shared" si="270"/>
        <v>6.1532944996209622</v>
      </c>
      <c r="EU155" s="775">
        <f t="shared" si="271"/>
        <v>2.022816402411908</v>
      </c>
      <c r="EV155" s="775">
        <f t="shared" si="272"/>
        <v>2.8960944360481364</v>
      </c>
      <c r="EW155" s="775">
        <f t="shared" si="273"/>
        <v>208.58221366349318</v>
      </c>
      <c r="EX155" s="775">
        <f t="shared" si="274"/>
        <v>33.81253824838182</v>
      </c>
      <c r="EY155" s="775">
        <f t="shared" si="307"/>
        <v>6.8030728750883833</v>
      </c>
      <c r="EZ155" s="775">
        <f t="shared" si="275"/>
        <v>3.0923058523129012</v>
      </c>
      <c r="FA155" s="775">
        <f t="shared" si="276"/>
        <v>3.2466754977079622</v>
      </c>
      <c r="FB155" s="775">
        <f t="shared" si="277"/>
        <v>2.9236855079202213</v>
      </c>
      <c r="FC155" s="775"/>
      <c r="FD155" s="775"/>
      <c r="FE155" s="775"/>
      <c r="FF155" s="775"/>
      <c r="FG155" s="775">
        <f>VLOOKUP(TRUE,FK141:GI240,22,FALSE)</f>
        <v>42.108291121362733</v>
      </c>
      <c r="FH155" s="756" t="s">
        <v>751</v>
      </c>
      <c r="FI155" s="775"/>
      <c r="FJ155" s="775"/>
      <c r="FK155" s="775" t="b">
        <f t="shared" si="308"/>
        <v>0</v>
      </c>
      <c r="FL155" s="775">
        <f t="shared" si="278"/>
        <v>1.8782151203482726</v>
      </c>
      <c r="FM155" s="775">
        <v>15</v>
      </c>
      <c r="FN155" s="775">
        <f t="shared" si="309"/>
        <v>42.5</v>
      </c>
      <c r="FO155" s="673">
        <f t="shared" si="279"/>
        <v>40.621784879651727</v>
      </c>
      <c r="FP155" s="673">
        <f t="shared" si="280"/>
        <v>24.403675819467587</v>
      </c>
      <c r="FQ155" s="775" t="b">
        <f t="shared" si="281"/>
        <v>0</v>
      </c>
      <c r="FR155" s="673"/>
      <c r="FS155" s="775">
        <f t="shared" si="282"/>
        <v>40.621784879651727</v>
      </c>
      <c r="FT155" s="775">
        <f t="shared" si="283"/>
        <v>5.3728971664730542E-2</v>
      </c>
      <c r="FU155" s="775">
        <f t="shared" si="284"/>
        <v>6.3293015506868675E-3</v>
      </c>
      <c r="FV155" s="775">
        <f t="shared" si="285"/>
        <v>1.7495008016994233</v>
      </c>
      <c r="FW155" s="775">
        <f t="shared" si="286"/>
        <v>0.90596522483440611</v>
      </c>
      <c r="FX155" s="775">
        <f t="shared" si="287"/>
        <v>50.687761839998757</v>
      </c>
      <c r="FY155" s="775">
        <f t="shared" si="288"/>
        <v>86.519958065606772</v>
      </c>
      <c r="FZ155" s="775">
        <f t="shared" si="289"/>
        <v>30.928725597254264</v>
      </c>
      <c r="GA155" s="775">
        <f t="shared" si="290"/>
        <v>47.235208967611371</v>
      </c>
      <c r="GB155" s="775">
        <f t="shared" si="291"/>
        <v>75.435476217281675</v>
      </c>
      <c r="GC155" s="775">
        <f t="shared" si="292"/>
        <v>3.0718263785956461</v>
      </c>
      <c r="GD155" s="775">
        <f t="shared" si="293"/>
        <v>7.696909055463542</v>
      </c>
      <c r="GE155" s="775">
        <f t="shared" si="294"/>
        <v>3.4985950252107005</v>
      </c>
      <c r="GF155" s="775">
        <f t="shared" si="295"/>
        <v>42.364590221638451</v>
      </c>
      <c r="GG155" s="775">
        <f t="shared" si="296"/>
        <v>40.621784879651727</v>
      </c>
    </row>
    <row r="156" spans="70:189" ht="16" thickBot="1">
      <c r="BR156" s="775"/>
      <c r="BS156" s="775"/>
      <c r="BT156" s="775"/>
      <c r="BU156" s="775">
        <f>VLOOKUP(TRUE,BY141:CW240,23,FALSE)</f>
        <v>2.2894140657605164</v>
      </c>
      <c r="BV156" s="758" t="s">
        <v>917</v>
      </c>
      <c r="BW156" s="775"/>
      <c r="BX156" s="775"/>
      <c r="BY156" s="775" t="b">
        <f t="shared" si="297"/>
        <v>0</v>
      </c>
      <c r="BZ156" s="775">
        <f t="shared" si="229"/>
        <v>4.6845106077123173</v>
      </c>
      <c r="CA156" s="775">
        <v>16</v>
      </c>
      <c r="CB156" s="775">
        <f t="shared" si="310"/>
        <v>8</v>
      </c>
      <c r="CC156" s="673">
        <f t="shared" si="230"/>
        <v>3.3154893922876827</v>
      </c>
      <c r="CD156" s="91">
        <f t="shared" si="228"/>
        <v>2</v>
      </c>
      <c r="CE156" s="775" t="b">
        <f t="shared" si="231"/>
        <v>0</v>
      </c>
      <c r="CF156" s="673"/>
      <c r="CG156" s="775">
        <f t="shared" si="232"/>
        <v>3.3154893922876827</v>
      </c>
      <c r="CH156" s="775">
        <f t="shared" si="233"/>
        <v>0.15663871443643351</v>
      </c>
      <c r="CI156" s="775">
        <f t="shared" si="234"/>
        <v>1.0476616073244323E-2</v>
      </c>
      <c r="CJ156" s="775">
        <f t="shared" si="235"/>
        <v>4.4159854069664268</v>
      </c>
      <c r="CK156" s="775">
        <f t="shared" si="236"/>
        <v>2.3797344766372004</v>
      </c>
      <c r="CL156" s="775">
        <f t="shared" si="237"/>
        <v>3.1791075329882603</v>
      </c>
      <c r="CM156" s="775">
        <f t="shared" si="238"/>
        <v>6.2513632943697264</v>
      </c>
      <c r="CN156" s="775">
        <f t="shared" si="239"/>
        <v>2.0401976434921671</v>
      </c>
      <c r="CO156" s="775">
        <f t="shared" si="240"/>
        <v>2.920087207626985</v>
      </c>
      <c r="CP156" s="775">
        <f t="shared" si="241"/>
        <v>195.7983930455419</v>
      </c>
      <c r="CQ156" s="775">
        <f t="shared" si="242"/>
        <v>31.740197486372807</v>
      </c>
      <c r="CR156" s="775">
        <f t="shared" si="298"/>
        <v>7.2472504903038022</v>
      </c>
      <c r="CS156" s="775">
        <f t="shared" si="243"/>
        <v>3.2942047683199096</v>
      </c>
      <c r="CT156" s="775">
        <f t="shared" si="244"/>
        <v>3.3154893922876827</v>
      </c>
      <c r="CU156" s="775">
        <f t="shared" si="245"/>
        <v>2.9570242972551286</v>
      </c>
      <c r="CV156" s="775"/>
      <c r="CW156" s="775"/>
      <c r="CX156" s="775"/>
      <c r="CY156" s="775"/>
      <c r="CZ156" s="775">
        <f>VLOOKUP(TRUE,DD141:EB240,23,FALSE)</f>
        <v>39.902286319087658</v>
      </c>
      <c r="DA156" s="758" t="s">
        <v>917</v>
      </c>
      <c r="DB156" s="775"/>
      <c r="DC156" s="775"/>
      <c r="DD156" s="775" t="b">
        <f t="shared" si="299"/>
        <v>0</v>
      </c>
      <c r="DE156" s="775">
        <f t="shared" si="300"/>
        <v>5.7746788128128372</v>
      </c>
      <c r="DF156" s="776">
        <v>17</v>
      </c>
      <c r="DG156" s="775">
        <f t="shared" si="301"/>
        <v>42</v>
      </c>
      <c r="DH156" s="673">
        <f t="shared" si="302"/>
        <v>36.225321187187163</v>
      </c>
      <c r="DI156" s="673">
        <f t="shared" si="246"/>
        <v>19</v>
      </c>
      <c r="DJ156" s="775" t="b">
        <f t="shared" si="247"/>
        <v>0</v>
      </c>
      <c r="DK156" s="673"/>
      <c r="DL156" s="775">
        <f t="shared" si="303"/>
        <v>36.225321187187163</v>
      </c>
      <c r="DM156" s="775">
        <f t="shared" si="304"/>
        <v>5.4276670613264792E-2</v>
      </c>
      <c r="DN156" s="775">
        <f t="shared" si="305"/>
        <v>6.3938207792680266E-3</v>
      </c>
      <c r="DO156" s="775">
        <f t="shared" si="248"/>
        <v>1.7470616180470995</v>
      </c>
      <c r="DP156" s="775">
        <f t="shared" si="249"/>
        <v>0.9053169175893222</v>
      </c>
      <c r="DQ156" s="775">
        <f t="shared" si="250"/>
        <v>39.364097698423222</v>
      </c>
      <c r="DR156" s="775">
        <f t="shared" si="251"/>
        <v>67.191368459091336</v>
      </c>
      <c r="DS156" s="775">
        <f t="shared" si="252"/>
        <v>30.86418105117415</v>
      </c>
      <c r="DT156" s="775">
        <f t="shared" si="253"/>
        <v>47.144352133883594</v>
      </c>
      <c r="DU156" s="775">
        <f t="shared" si="254"/>
        <v>76.204445541023773</v>
      </c>
      <c r="DV156" s="775">
        <f t="shared" si="255"/>
        <v>3.1031397654986197</v>
      </c>
      <c r="DW156" s="775">
        <f t="shared" si="256"/>
        <v>20.915063270711489</v>
      </c>
      <c r="DX156" s="775">
        <f t="shared" si="257"/>
        <v>9.5068469412324941</v>
      </c>
      <c r="DY156" s="775">
        <f t="shared" si="258"/>
        <v>36.225321187187163</v>
      </c>
      <c r="DZ156" s="775">
        <f t="shared" si="259"/>
        <v>40.574497023702477</v>
      </c>
      <c r="EA156" s="775"/>
      <c r="EB156" s="775">
        <f>VLOOKUP(TRUE,EF141:FD240,23,FALSE)</f>
        <v>2.2894140657605164</v>
      </c>
      <c r="EC156" s="758" t="s">
        <v>917</v>
      </c>
      <c r="ED156" s="775"/>
      <c r="EE156" s="775"/>
      <c r="EF156" s="775" t="b">
        <f t="shared" si="306"/>
        <v>0</v>
      </c>
      <c r="EG156" s="775">
        <f t="shared" si="260"/>
        <v>4.6845106077123173</v>
      </c>
      <c r="EH156" s="775">
        <v>16</v>
      </c>
      <c r="EI156" s="775">
        <f t="shared" si="311"/>
        <v>8</v>
      </c>
      <c r="EJ156" s="673">
        <f t="shared" si="261"/>
        <v>3.3154893922876827</v>
      </c>
      <c r="EK156" s="673">
        <f t="shared" si="262"/>
        <v>2.2510196371999172</v>
      </c>
      <c r="EL156" s="775" t="b">
        <f t="shared" si="263"/>
        <v>0</v>
      </c>
      <c r="EM156" s="673"/>
      <c r="EN156" s="775">
        <f t="shared" si="264"/>
        <v>3.3154893922876827</v>
      </c>
      <c r="EO156" s="775">
        <f t="shared" si="265"/>
        <v>0.15663871443643351</v>
      </c>
      <c r="EP156" s="775">
        <f t="shared" si="266"/>
        <v>1.0476616073244323E-2</v>
      </c>
      <c r="EQ156" s="775">
        <f t="shared" si="267"/>
        <v>4.4159854069664268</v>
      </c>
      <c r="ER156" s="775">
        <f t="shared" si="268"/>
        <v>2.3797344766372004</v>
      </c>
      <c r="ES156" s="775">
        <f t="shared" si="269"/>
        <v>3.1791075329882603</v>
      </c>
      <c r="ET156" s="775">
        <f t="shared" si="270"/>
        <v>6.2513632943697264</v>
      </c>
      <c r="EU156" s="775">
        <f t="shared" si="271"/>
        <v>2.0401976434921671</v>
      </c>
      <c r="EV156" s="775">
        <f t="shared" si="272"/>
        <v>2.920087207626985</v>
      </c>
      <c r="EW156" s="775">
        <f t="shared" si="273"/>
        <v>195.7983930455419</v>
      </c>
      <c r="EX156" s="775">
        <f t="shared" si="274"/>
        <v>31.740197486372807</v>
      </c>
      <c r="EY156" s="775">
        <f t="shared" si="307"/>
        <v>7.2472504903038022</v>
      </c>
      <c r="EZ156" s="775">
        <f t="shared" si="275"/>
        <v>3.2942047683199096</v>
      </c>
      <c r="FA156" s="775">
        <f t="shared" si="276"/>
        <v>3.3154893922876827</v>
      </c>
      <c r="FB156" s="775">
        <f t="shared" si="277"/>
        <v>2.9570242972551286</v>
      </c>
      <c r="FC156" s="775"/>
      <c r="FD156" s="775"/>
      <c r="FE156" s="775"/>
      <c r="FF156" s="775"/>
      <c r="FG156" s="775">
        <f>VLOOKUP(TRUE,FK141:GI240,23,FALSE)</f>
        <v>40.429156040308229</v>
      </c>
      <c r="FH156" s="758" t="s">
        <v>917</v>
      </c>
      <c r="FI156" s="775"/>
      <c r="FJ156" s="775"/>
      <c r="FK156" s="775" t="b">
        <f t="shared" si="308"/>
        <v>0</v>
      </c>
      <c r="FL156" s="775">
        <f t="shared" si="278"/>
        <v>1.4255029762975227</v>
      </c>
      <c r="FM156" s="775">
        <v>16</v>
      </c>
      <c r="FN156" s="775">
        <f t="shared" si="309"/>
        <v>42</v>
      </c>
      <c r="FO156" s="673">
        <f t="shared" si="279"/>
        <v>40.574497023702477</v>
      </c>
      <c r="FP156" s="673">
        <f t="shared" si="280"/>
        <v>24.403675819467587</v>
      </c>
      <c r="FQ156" s="775" t="b">
        <f t="shared" si="281"/>
        <v>0</v>
      </c>
      <c r="FR156" s="673"/>
      <c r="FS156" s="775">
        <f t="shared" si="282"/>
        <v>40.574497023702477</v>
      </c>
      <c r="FT156" s="775">
        <f t="shared" si="283"/>
        <v>5.4276670613264792E-2</v>
      </c>
      <c r="FU156" s="775">
        <f t="shared" si="284"/>
        <v>6.3938207792680266E-3</v>
      </c>
      <c r="FV156" s="775">
        <f t="shared" si="285"/>
        <v>1.7470616180470995</v>
      </c>
      <c r="FW156" s="775">
        <f t="shared" si="286"/>
        <v>0.9053169175893222</v>
      </c>
      <c r="FX156" s="775">
        <f t="shared" si="287"/>
        <v>50.559404166219501</v>
      </c>
      <c r="FY156" s="775">
        <f t="shared" si="288"/>
        <v>86.300861775898113</v>
      </c>
      <c r="FZ156" s="775">
        <f t="shared" si="289"/>
        <v>30.86418105117415</v>
      </c>
      <c r="GA156" s="775">
        <f t="shared" si="290"/>
        <v>47.144352133883594</v>
      </c>
      <c r="GB156" s="775">
        <f t="shared" si="291"/>
        <v>76.204445541023773</v>
      </c>
      <c r="GC156" s="775">
        <f t="shared" si="292"/>
        <v>3.1031397654986197</v>
      </c>
      <c r="GD156" s="775">
        <f t="shared" si="293"/>
        <v>7.6192405295755359</v>
      </c>
      <c r="GE156" s="775">
        <f t="shared" si="294"/>
        <v>3.4632911498070613</v>
      </c>
      <c r="GF156" s="775">
        <f t="shared" si="295"/>
        <v>42.301629921697888</v>
      </c>
      <c r="GG156" s="775">
        <f t="shared" si="296"/>
        <v>40.574497023702477</v>
      </c>
    </row>
    <row r="157" spans="70:189" ht="15" thickTop="1">
      <c r="BR157" s="775"/>
      <c r="BS157" s="775"/>
      <c r="BT157" s="775"/>
      <c r="BU157" s="775"/>
      <c r="BV157" s="775"/>
      <c r="BW157" s="775"/>
      <c r="BX157" s="775"/>
      <c r="BY157" s="775" t="b">
        <f t="shared" si="297"/>
        <v>0</v>
      </c>
      <c r="BZ157" s="775">
        <f t="shared" si="229"/>
        <v>5.1189623843703611</v>
      </c>
      <c r="CA157" s="775">
        <v>17</v>
      </c>
      <c r="CB157" s="775">
        <f t="shared" si="310"/>
        <v>8.5</v>
      </c>
      <c r="CC157" s="673">
        <f t="shared" si="230"/>
        <v>3.3810376156296393</v>
      </c>
      <c r="CD157" s="91">
        <f t="shared" si="228"/>
        <v>2</v>
      </c>
      <c r="CE157" s="775" t="b">
        <f t="shared" si="231"/>
        <v>0</v>
      </c>
      <c r="CF157" s="673"/>
      <c r="CG157" s="775">
        <f t="shared" si="232"/>
        <v>3.3810376156296393</v>
      </c>
      <c r="CH157" s="775">
        <f t="shared" si="233"/>
        <v>0.14760353212209842</v>
      </c>
      <c r="CI157" s="775">
        <f t="shared" si="234"/>
        <v>9.8723073836612663E-3</v>
      </c>
      <c r="CJ157" s="775">
        <f t="shared" si="235"/>
        <v>4.46726391739662</v>
      </c>
      <c r="CK157" s="775">
        <f t="shared" si="236"/>
        <v>2.3944914724399773</v>
      </c>
      <c r="CL157" s="775">
        <f t="shared" si="237"/>
        <v>3.226679338209919</v>
      </c>
      <c r="CM157" s="775">
        <f t="shared" si="238"/>
        <v>6.3449079869992469</v>
      </c>
      <c r="CN157" s="775">
        <f t="shared" si="239"/>
        <v>2.0566432677725812</v>
      </c>
      <c r="CO157" s="775">
        <f t="shared" si="240"/>
        <v>2.9427921088324855</v>
      </c>
      <c r="CP157" s="775">
        <f t="shared" si="241"/>
        <v>184.50441515262304</v>
      </c>
      <c r="CQ157" s="775">
        <f t="shared" si="242"/>
        <v>29.909369954276599</v>
      </c>
      <c r="CR157" s="775">
        <f t="shared" si="298"/>
        <v>7.6908728651625795</v>
      </c>
      <c r="CS157" s="775">
        <f t="shared" si="243"/>
        <v>3.4958513023466269</v>
      </c>
      <c r="CT157" s="775">
        <f t="shared" si="244"/>
        <v>3.3810376156296393</v>
      </c>
      <c r="CU157" s="775">
        <f t="shared" si="245"/>
        <v>2.988552464589755</v>
      </c>
      <c r="CV157" s="775"/>
      <c r="CW157" s="775"/>
      <c r="CX157" s="775"/>
      <c r="CY157" s="775"/>
      <c r="CZ157" s="775"/>
      <c r="DA157" s="775"/>
      <c r="DB157" s="775"/>
      <c r="DC157" s="775"/>
      <c r="DD157" s="775" t="b">
        <f t="shared" si="299"/>
        <v>0</v>
      </c>
      <c r="DE157" s="775">
        <f t="shared" si="300"/>
        <v>5.3352524523541405</v>
      </c>
      <c r="DF157" s="776">
        <v>18</v>
      </c>
      <c r="DG157" s="775">
        <f t="shared" si="301"/>
        <v>41.5</v>
      </c>
      <c r="DH157" s="673">
        <f t="shared" si="302"/>
        <v>36.16474754764586</v>
      </c>
      <c r="DI157" s="673">
        <f t="shared" si="246"/>
        <v>19</v>
      </c>
      <c r="DJ157" s="775" t="b">
        <f t="shared" si="247"/>
        <v>0</v>
      </c>
      <c r="DK157" s="673"/>
      <c r="DL157" s="775">
        <f t="shared" si="303"/>
        <v>36.16474754764586</v>
      </c>
      <c r="DM157" s="775">
        <f t="shared" si="304"/>
        <v>5.483661301364514E-2</v>
      </c>
      <c r="DN157" s="775">
        <f t="shared" si="305"/>
        <v>6.4597822930140469E-3</v>
      </c>
      <c r="DO157" s="775">
        <f t="shared" si="248"/>
        <v>1.7445770279449906</v>
      </c>
      <c r="DP157" s="775">
        <f t="shared" si="249"/>
        <v>0.90465555456450997</v>
      </c>
      <c r="DQ157" s="775">
        <f t="shared" si="250"/>
        <v>39.26322287483552</v>
      </c>
      <c r="DR157" s="775">
        <f t="shared" si="251"/>
        <v>67.019183197997464</v>
      </c>
      <c r="DS157" s="775">
        <f t="shared" si="252"/>
        <v>30.798977637435321</v>
      </c>
      <c r="DT157" s="775">
        <f t="shared" si="253"/>
        <v>47.052546643656591</v>
      </c>
      <c r="DU157" s="775">
        <f t="shared" si="254"/>
        <v>76.990604671157783</v>
      </c>
      <c r="DV157" s="775">
        <f t="shared" si="255"/>
        <v>3.1351531426895258</v>
      </c>
      <c r="DW157" s="775">
        <f t="shared" si="256"/>
        <v>20.701497368510434</v>
      </c>
      <c r="DX157" s="775">
        <f t="shared" si="257"/>
        <v>9.4097715311411054</v>
      </c>
      <c r="DY157" s="775">
        <f t="shared" si="258"/>
        <v>36.16474754764586</v>
      </c>
      <c r="DZ157" s="775">
        <f t="shared" si="259"/>
        <v>40.52663886076455</v>
      </c>
      <c r="EA157" s="775"/>
      <c r="EB157" s="775"/>
      <c r="EC157" s="775"/>
      <c r="ED157" s="775"/>
      <c r="EE157" s="775"/>
      <c r="EF157" s="775" t="b">
        <f t="shared" si="306"/>
        <v>0</v>
      </c>
      <c r="EG157" s="775">
        <f t="shared" si="260"/>
        <v>5.1189623843703611</v>
      </c>
      <c r="EH157" s="775">
        <v>17</v>
      </c>
      <c r="EI157" s="775">
        <f t="shared" si="311"/>
        <v>8.5</v>
      </c>
      <c r="EJ157" s="673">
        <f t="shared" si="261"/>
        <v>3.3810376156296393</v>
      </c>
      <c r="EK157" s="673">
        <f t="shared" si="262"/>
        <v>2.2510196371999172</v>
      </c>
      <c r="EL157" s="775" t="b">
        <f t="shared" si="263"/>
        <v>0</v>
      </c>
      <c r="EM157" s="673"/>
      <c r="EN157" s="775">
        <f t="shared" si="264"/>
        <v>3.3810376156296393</v>
      </c>
      <c r="EO157" s="775">
        <f t="shared" si="265"/>
        <v>0.14760353212209842</v>
      </c>
      <c r="EP157" s="775">
        <f t="shared" si="266"/>
        <v>9.8723073836612663E-3</v>
      </c>
      <c r="EQ157" s="775">
        <f t="shared" si="267"/>
        <v>4.46726391739662</v>
      </c>
      <c r="ER157" s="775">
        <f t="shared" si="268"/>
        <v>2.3944914724399773</v>
      </c>
      <c r="ES157" s="775">
        <f t="shared" si="269"/>
        <v>3.226679338209919</v>
      </c>
      <c r="ET157" s="775">
        <f t="shared" si="270"/>
        <v>6.3449079869992469</v>
      </c>
      <c r="EU157" s="775">
        <f t="shared" si="271"/>
        <v>2.0566432677725812</v>
      </c>
      <c r="EV157" s="775">
        <f t="shared" si="272"/>
        <v>2.9427921088324855</v>
      </c>
      <c r="EW157" s="775">
        <f t="shared" si="273"/>
        <v>184.50441515262304</v>
      </c>
      <c r="EX157" s="775">
        <f t="shared" si="274"/>
        <v>29.909369954276599</v>
      </c>
      <c r="EY157" s="775">
        <f t="shared" si="307"/>
        <v>7.6908728651625795</v>
      </c>
      <c r="EZ157" s="775">
        <f t="shared" si="275"/>
        <v>3.4958513023466269</v>
      </c>
      <c r="FA157" s="775">
        <f t="shared" si="276"/>
        <v>3.3810376156296393</v>
      </c>
      <c r="FB157" s="775">
        <f t="shared" si="277"/>
        <v>2.988552464589755</v>
      </c>
      <c r="FC157" s="775"/>
      <c r="FD157" s="775"/>
      <c r="FE157" s="775"/>
      <c r="FF157" s="775"/>
      <c r="FG157" s="775"/>
      <c r="FH157" s="775"/>
      <c r="FI157" s="775"/>
      <c r="FJ157" s="775"/>
      <c r="FK157" s="775" t="b">
        <f t="shared" si="308"/>
        <v>0</v>
      </c>
      <c r="FL157" s="775">
        <f t="shared" si="278"/>
        <v>0.97336113923545042</v>
      </c>
      <c r="FM157" s="775">
        <v>17</v>
      </c>
      <c r="FN157" s="775">
        <f t="shared" si="309"/>
        <v>41.5</v>
      </c>
      <c r="FO157" s="673">
        <f t="shared" si="279"/>
        <v>40.52663886076455</v>
      </c>
      <c r="FP157" s="673">
        <f t="shared" si="280"/>
        <v>24.403675819467587</v>
      </c>
      <c r="FQ157" s="775" t="b">
        <f t="shared" si="281"/>
        <v>0</v>
      </c>
      <c r="FR157" s="673"/>
      <c r="FS157" s="775">
        <f t="shared" si="282"/>
        <v>40.52663886076455</v>
      </c>
      <c r="FT157" s="775">
        <f t="shared" si="283"/>
        <v>5.483661301364514E-2</v>
      </c>
      <c r="FU157" s="775">
        <f t="shared" si="284"/>
        <v>6.4597822930140469E-3</v>
      </c>
      <c r="FV157" s="775">
        <f t="shared" si="285"/>
        <v>1.7445770279449906</v>
      </c>
      <c r="FW157" s="775">
        <f t="shared" si="286"/>
        <v>0.90465555456450997</v>
      </c>
      <c r="FX157" s="775">
        <f t="shared" si="287"/>
        <v>50.429840140262641</v>
      </c>
      <c r="FY157" s="775">
        <f t="shared" si="288"/>
        <v>86.079706339444158</v>
      </c>
      <c r="FZ157" s="775">
        <f t="shared" si="289"/>
        <v>30.798977637435321</v>
      </c>
      <c r="GA157" s="775">
        <f t="shared" si="290"/>
        <v>47.052546643656591</v>
      </c>
      <c r="GB157" s="775">
        <f t="shared" si="291"/>
        <v>76.990604671157783</v>
      </c>
      <c r="GC157" s="775">
        <f t="shared" si="292"/>
        <v>3.1351531426895258</v>
      </c>
      <c r="GD157" s="775">
        <f t="shared" si="293"/>
        <v>7.5414396663066068</v>
      </c>
      <c r="GE157" s="775">
        <f t="shared" si="294"/>
        <v>3.4279271210484574</v>
      </c>
      <c r="GF157" s="775">
        <f t="shared" si="295"/>
        <v>42.237938244374597</v>
      </c>
      <c r="GG157" s="775">
        <f t="shared" si="296"/>
        <v>40.52663886076455</v>
      </c>
    </row>
    <row r="158" spans="70:189">
      <c r="BR158" s="775"/>
      <c r="BS158" s="775"/>
      <c r="BT158" s="775"/>
      <c r="BU158" s="775"/>
      <c r="BV158" s="775"/>
      <c r="BW158" s="775"/>
      <c r="BX158" s="775"/>
      <c r="BY158" s="775" t="b">
        <f t="shared" si="297"/>
        <v>0</v>
      </c>
      <c r="BZ158" s="775">
        <f t="shared" si="229"/>
        <v>5.5563469043171931</v>
      </c>
      <c r="CA158" s="775">
        <v>18</v>
      </c>
      <c r="CB158" s="775">
        <f t="shared" si="310"/>
        <v>9</v>
      </c>
      <c r="CC158" s="673">
        <f t="shared" si="230"/>
        <v>3.4436530956828064</v>
      </c>
      <c r="CD158" s="91">
        <f t="shared" si="228"/>
        <v>2</v>
      </c>
      <c r="CE158" s="775" t="b">
        <f t="shared" si="231"/>
        <v>0</v>
      </c>
      <c r="CF158" s="673"/>
      <c r="CG158" s="775">
        <f t="shared" si="232"/>
        <v>3.4436530956828064</v>
      </c>
      <c r="CH158" s="775">
        <f t="shared" si="233"/>
        <v>0.13956278848757492</v>
      </c>
      <c r="CI158" s="775">
        <f t="shared" si="234"/>
        <v>9.3345106818345808E-3</v>
      </c>
      <c r="CJ158" s="775">
        <f t="shared" si="235"/>
        <v>4.5142227546731943</v>
      </c>
      <c r="CK158" s="775">
        <f t="shared" si="236"/>
        <v>2.4078577702337043</v>
      </c>
      <c r="CL158" s="775">
        <f t="shared" si="237"/>
        <v>3.272183015911788</v>
      </c>
      <c r="CM158" s="775">
        <f t="shared" si="238"/>
        <v>6.434385935635011</v>
      </c>
      <c r="CN158" s="775">
        <f t="shared" si="239"/>
        <v>2.0722545077193915</v>
      </c>
      <c r="CO158" s="775">
        <f t="shared" si="240"/>
        <v>2.9643482983899454</v>
      </c>
      <c r="CP158" s="775">
        <f t="shared" si="241"/>
        <v>174.45348560946866</v>
      </c>
      <c r="CQ158" s="775">
        <f t="shared" si="242"/>
        <v>28.280048673038419</v>
      </c>
      <c r="CR158" s="775">
        <f t="shared" si="298"/>
        <v>8.133973334167548</v>
      </c>
      <c r="CS158" s="775">
        <f t="shared" si="243"/>
        <v>3.6972606064397944</v>
      </c>
      <c r="CT158" s="775">
        <f t="shared" si="244"/>
        <v>3.4436530956828064</v>
      </c>
      <c r="CU158" s="775">
        <f t="shared" si="245"/>
        <v>3.018466571803279</v>
      </c>
      <c r="CV158" s="775"/>
      <c r="CW158" s="775"/>
      <c r="CX158" s="775"/>
      <c r="CY158" s="775"/>
      <c r="CZ158" s="775"/>
      <c r="DA158" s="775"/>
      <c r="DB158" s="775"/>
      <c r="DC158" s="775"/>
      <c r="DD158" s="775" t="b">
        <f t="shared" si="299"/>
        <v>0</v>
      </c>
      <c r="DE158" s="775">
        <f t="shared" si="300"/>
        <v>4.896519102517253</v>
      </c>
      <c r="DF158" s="776">
        <v>19</v>
      </c>
      <c r="DG158" s="775">
        <f t="shared" si="301"/>
        <v>41</v>
      </c>
      <c r="DH158" s="673">
        <f t="shared" si="302"/>
        <v>36.103480897482747</v>
      </c>
      <c r="DI158" s="673">
        <f t="shared" si="246"/>
        <v>19</v>
      </c>
      <c r="DJ158" s="775" t="b">
        <f t="shared" si="247"/>
        <v>0</v>
      </c>
      <c r="DK158" s="673"/>
      <c r="DL158" s="775">
        <f t="shared" si="303"/>
        <v>36.103480897482747</v>
      </c>
      <c r="DM158" s="775">
        <f t="shared" si="304"/>
        <v>5.5409225076877379E-2</v>
      </c>
      <c r="DN158" s="775">
        <f t="shared" si="305"/>
        <v>6.5272362998089863E-3</v>
      </c>
      <c r="DO158" s="775">
        <f t="shared" si="248"/>
        <v>1.7420456988897179</v>
      </c>
      <c r="DP158" s="775">
        <f t="shared" si="249"/>
        <v>0.90398072383809724</v>
      </c>
      <c r="DQ158" s="775">
        <f t="shared" si="250"/>
        <v>39.16138851559414</v>
      </c>
      <c r="DR158" s="775">
        <f t="shared" si="251"/>
        <v>66.845360086237008</v>
      </c>
      <c r="DS158" s="775">
        <f t="shared" si="252"/>
        <v>30.73310064531708</v>
      </c>
      <c r="DT158" s="775">
        <f t="shared" si="253"/>
        <v>46.959771078450217</v>
      </c>
      <c r="DU158" s="775">
        <f t="shared" si="254"/>
        <v>77.794552007935835</v>
      </c>
      <c r="DV158" s="775">
        <f t="shared" si="255"/>
        <v>3.1678908777706067</v>
      </c>
      <c r="DW158" s="775">
        <f t="shared" si="256"/>
        <v>20.487563188710361</v>
      </c>
      <c r="DX158" s="775">
        <f t="shared" si="257"/>
        <v>9.3125287221410726</v>
      </c>
      <c r="DY158" s="775">
        <f t="shared" si="258"/>
        <v>36.103480897482747</v>
      </c>
      <c r="DZ158" s="775">
        <f t="shared" si="259"/>
        <v>40.478196623396627</v>
      </c>
      <c r="EA158" s="775"/>
      <c r="EB158" s="775"/>
      <c r="EC158" s="775"/>
      <c r="ED158" s="775"/>
      <c r="EE158" s="775"/>
      <c r="EF158" s="775" t="b">
        <f t="shared" si="306"/>
        <v>0</v>
      </c>
      <c r="EG158" s="775">
        <f t="shared" si="260"/>
        <v>5.5563469043171931</v>
      </c>
      <c r="EH158" s="775">
        <v>18</v>
      </c>
      <c r="EI158" s="775">
        <f t="shared" si="311"/>
        <v>9</v>
      </c>
      <c r="EJ158" s="673">
        <f t="shared" si="261"/>
        <v>3.4436530956828064</v>
      </c>
      <c r="EK158" s="673">
        <f t="shared" si="262"/>
        <v>2.2510196371999172</v>
      </c>
      <c r="EL158" s="775" t="b">
        <f t="shared" si="263"/>
        <v>0</v>
      </c>
      <c r="EM158" s="673"/>
      <c r="EN158" s="775">
        <f t="shared" si="264"/>
        <v>3.4436530956828064</v>
      </c>
      <c r="EO158" s="775">
        <f t="shared" si="265"/>
        <v>0.13956278848757492</v>
      </c>
      <c r="EP158" s="775">
        <f t="shared" si="266"/>
        <v>9.3345106818345808E-3</v>
      </c>
      <c r="EQ158" s="775">
        <f t="shared" si="267"/>
        <v>4.5142227546731943</v>
      </c>
      <c r="ER158" s="775">
        <f t="shared" si="268"/>
        <v>2.4078577702337043</v>
      </c>
      <c r="ES158" s="775">
        <f t="shared" si="269"/>
        <v>3.272183015911788</v>
      </c>
      <c r="ET158" s="775">
        <f t="shared" si="270"/>
        <v>6.434385935635011</v>
      </c>
      <c r="EU158" s="775">
        <f t="shared" si="271"/>
        <v>2.0722545077193915</v>
      </c>
      <c r="EV158" s="775">
        <f t="shared" si="272"/>
        <v>2.9643482983899454</v>
      </c>
      <c r="EW158" s="775">
        <f t="shared" si="273"/>
        <v>174.45348560946866</v>
      </c>
      <c r="EX158" s="775">
        <f t="shared" si="274"/>
        <v>28.280048673038419</v>
      </c>
      <c r="EY158" s="775">
        <f t="shared" si="307"/>
        <v>8.133973334167548</v>
      </c>
      <c r="EZ158" s="775">
        <f t="shared" si="275"/>
        <v>3.6972606064397944</v>
      </c>
      <c r="FA158" s="775">
        <f t="shared" si="276"/>
        <v>3.4436530956828064</v>
      </c>
      <c r="FB158" s="775">
        <f t="shared" si="277"/>
        <v>3.018466571803279</v>
      </c>
      <c r="FC158" s="775"/>
      <c r="FD158" s="775"/>
      <c r="FE158" s="775"/>
      <c r="FF158" s="775"/>
      <c r="FG158" s="775"/>
      <c r="FH158" s="775"/>
      <c r="FI158" s="775"/>
      <c r="FJ158" s="775"/>
      <c r="FK158" s="775" t="b">
        <f t="shared" si="308"/>
        <v>0</v>
      </c>
      <c r="FL158" s="775">
        <f t="shared" si="278"/>
        <v>0.52180337660337273</v>
      </c>
      <c r="FM158" s="775">
        <v>18</v>
      </c>
      <c r="FN158" s="775">
        <f t="shared" si="309"/>
        <v>41</v>
      </c>
      <c r="FO158" s="673">
        <f t="shared" si="279"/>
        <v>40.478196623396627</v>
      </c>
      <c r="FP158" s="673">
        <f t="shared" si="280"/>
        <v>24.403675819467587</v>
      </c>
      <c r="FQ158" s="775" t="b">
        <f t="shared" si="281"/>
        <v>0</v>
      </c>
      <c r="FR158" s="673"/>
      <c r="FS158" s="775">
        <f t="shared" si="282"/>
        <v>40.478196623396627</v>
      </c>
      <c r="FT158" s="775">
        <f t="shared" si="283"/>
        <v>5.5409225076877379E-2</v>
      </c>
      <c r="FU158" s="775">
        <f t="shared" si="284"/>
        <v>6.5272362998089863E-3</v>
      </c>
      <c r="FV158" s="775">
        <f t="shared" si="285"/>
        <v>1.7420456988897179</v>
      </c>
      <c r="FW158" s="775">
        <f t="shared" si="286"/>
        <v>0.90398072383809724</v>
      </c>
      <c r="FX158" s="775">
        <f t="shared" si="287"/>
        <v>50.29904368288318</v>
      </c>
      <c r="FY158" s="775">
        <f t="shared" si="288"/>
        <v>85.856447241058206</v>
      </c>
      <c r="FZ158" s="775">
        <f t="shared" si="289"/>
        <v>30.73310064531708</v>
      </c>
      <c r="GA158" s="775">
        <f t="shared" si="290"/>
        <v>46.959771078450217</v>
      </c>
      <c r="GB158" s="775">
        <f t="shared" si="291"/>
        <v>77.794552007935835</v>
      </c>
      <c r="GC158" s="775">
        <f t="shared" si="292"/>
        <v>3.1678908777706067</v>
      </c>
      <c r="GD158" s="775">
        <f t="shared" si="293"/>
        <v>7.4635046415688704</v>
      </c>
      <c r="GE158" s="775">
        <f t="shared" si="294"/>
        <v>3.3925021098040316</v>
      </c>
      <c r="GF158" s="775">
        <f t="shared" si="295"/>
        <v>42.173497935907058</v>
      </c>
      <c r="GG158" s="775">
        <f t="shared" si="296"/>
        <v>40.478196623396627</v>
      </c>
    </row>
    <row r="159" spans="70:189">
      <c r="BR159" s="775"/>
      <c r="BS159" s="775"/>
      <c r="BT159" s="775"/>
      <c r="BU159" s="775"/>
      <c r="BV159" s="775"/>
      <c r="BW159" s="775"/>
      <c r="BX159" s="775"/>
      <c r="BY159" s="775" t="b">
        <f t="shared" si="297"/>
        <v>0</v>
      </c>
      <c r="BZ159" s="775">
        <f t="shared" si="229"/>
        <v>5.9963814394875765</v>
      </c>
      <c r="CA159" s="775">
        <v>19</v>
      </c>
      <c r="CB159" s="775">
        <f t="shared" si="310"/>
        <v>9.5</v>
      </c>
      <c r="CC159" s="673">
        <f t="shared" si="230"/>
        <v>3.503618560512423</v>
      </c>
      <c r="CD159" s="91">
        <f t="shared" si="228"/>
        <v>2</v>
      </c>
      <c r="CE159" s="775" t="b">
        <f t="shared" si="231"/>
        <v>0</v>
      </c>
      <c r="CF159" s="673"/>
      <c r="CG159" s="775">
        <f t="shared" si="232"/>
        <v>3.503618560512423</v>
      </c>
      <c r="CH159" s="775">
        <f t="shared" si="233"/>
        <v>0.13236042842157381</v>
      </c>
      <c r="CI159" s="775">
        <f t="shared" si="234"/>
        <v>8.8527883853752234E-3</v>
      </c>
      <c r="CJ159" s="775">
        <f t="shared" si="235"/>
        <v>4.5573919224527328</v>
      </c>
      <c r="CK159" s="775">
        <f t="shared" si="236"/>
        <v>2.4200224082132031</v>
      </c>
      <c r="CL159" s="775">
        <f t="shared" si="237"/>
        <v>3.3158162425610698</v>
      </c>
      <c r="CM159" s="775">
        <f t="shared" si="238"/>
        <v>6.5201858491830258</v>
      </c>
      <c r="CN159" s="775">
        <f t="shared" si="239"/>
        <v>2.0871167366007546</v>
      </c>
      <c r="CO159" s="775">
        <f t="shared" si="240"/>
        <v>2.9848731526174066</v>
      </c>
      <c r="CP159" s="775">
        <f t="shared" si="241"/>
        <v>165.45053552696726</v>
      </c>
      <c r="CQ159" s="775">
        <f t="shared" si="242"/>
        <v>26.82061170252107</v>
      </c>
      <c r="CR159" s="775">
        <f t="shared" si="298"/>
        <v>8.576581486910408</v>
      </c>
      <c r="CS159" s="775">
        <f t="shared" si="243"/>
        <v>3.8984461304138214</v>
      </c>
      <c r="CT159" s="775">
        <f t="shared" si="244"/>
        <v>3.503618560512423</v>
      </c>
      <c r="CU159" s="775">
        <f t="shared" si="245"/>
        <v>3.0469323265593338</v>
      </c>
      <c r="CV159" s="775"/>
      <c r="CW159" s="775"/>
      <c r="CX159" s="775"/>
      <c r="CY159" s="775"/>
      <c r="CZ159" s="775"/>
      <c r="DA159" s="775"/>
      <c r="DB159" s="775"/>
      <c r="DC159" s="775"/>
      <c r="DD159" s="775" t="b">
        <f t="shared" si="299"/>
        <v>0</v>
      </c>
      <c r="DE159" s="775">
        <f t="shared" si="300"/>
        <v>4.4584950939196872</v>
      </c>
      <c r="DF159" s="776">
        <v>20</v>
      </c>
      <c r="DG159" s="775">
        <f t="shared" si="301"/>
        <v>40.5</v>
      </c>
      <c r="DH159" s="673">
        <f t="shared" si="302"/>
        <v>36.041504906080313</v>
      </c>
      <c r="DI159" s="673">
        <f t="shared" si="246"/>
        <v>19</v>
      </c>
      <c r="DJ159" s="775" t="b">
        <f t="shared" si="247"/>
        <v>0</v>
      </c>
      <c r="DK159" s="673"/>
      <c r="DL159" s="775">
        <f t="shared" si="303"/>
        <v>36.041504906080313</v>
      </c>
      <c r="DM159" s="775">
        <f t="shared" si="304"/>
        <v>5.5994953291253244E-2</v>
      </c>
      <c r="DN159" s="775">
        <f t="shared" si="305"/>
        <v>6.5962353962120126E-3</v>
      </c>
      <c r="DO159" s="775">
        <f t="shared" si="248"/>
        <v>1.7394662444255247</v>
      </c>
      <c r="DP159" s="775">
        <f t="shared" si="249"/>
        <v>0.90329199564644824</v>
      </c>
      <c r="DQ159" s="775">
        <f t="shared" si="250"/>
        <v>39.058573622991567</v>
      </c>
      <c r="DR159" s="775">
        <f t="shared" si="251"/>
        <v>66.669863282401508</v>
      </c>
      <c r="DS159" s="775">
        <f t="shared" si="252"/>
        <v>30.666534852087629</v>
      </c>
      <c r="DT159" s="775">
        <f t="shared" si="253"/>
        <v>46.866003268838725</v>
      </c>
      <c r="DU159" s="775">
        <f t="shared" si="254"/>
        <v>78.616914420919557</v>
      </c>
      <c r="DV159" s="775">
        <f t="shared" si="255"/>
        <v>3.2013784976497828</v>
      </c>
      <c r="DW159" s="775">
        <f t="shared" si="256"/>
        <v>20.273255593148701</v>
      </c>
      <c r="DX159" s="775">
        <f t="shared" si="257"/>
        <v>9.2151161787039548</v>
      </c>
      <c r="DY159" s="775">
        <f t="shared" si="258"/>
        <v>36.041504906080313</v>
      </c>
      <c r="DZ159" s="775">
        <f t="shared" si="259"/>
        <v>40.429156040308229</v>
      </c>
      <c r="EA159" s="775"/>
      <c r="EB159" s="775"/>
      <c r="EC159" s="775"/>
      <c r="ED159" s="775"/>
      <c r="EE159" s="775"/>
      <c r="EF159" s="775" t="b">
        <f t="shared" si="306"/>
        <v>0</v>
      </c>
      <c r="EG159" s="775">
        <f t="shared" si="260"/>
        <v>5.9963814394875765</v>
      </c>
      <c r="EH159" s="775">
        <v>19</v>
      </c>
      <c r="EI159" s="775">
        <f t="shared" si="311"/>
        <v>9.5</v>
      </c>
      <c r="EJ159" s="673">
        <f t="shared" si="261"/>
        <v>3.503618560512423</v>
      </c>
      <c r="EK159" s="673">
        <f t="shared" si="262"/>
        <v>2.2510196371999172</v>
      </c>
      <c r="EL159" s="775" t="b">
        <f t="shared" si="263"/>
        <v>0</v>
      </c>
      <c r="EM159" s="673"/>
      <c r="EN159" s="775">
        <f t="shared" si="264"/>
        <v>3.503618560512423</v>
      </c>
      <c r="EO159" s="775">
        <f t="shared" si="265"/>
        <v>0.13236042842157381</v>
      </c>
      <c r="EP159" s="775">
        <f t="shared" si="266"/>
        <v>8.8527883853752234E-3</v>
      </c>
      <c r="EQ159" s="775">
        <f t="shared" si="267"/>
        <v>4.5573919224527328</v>
      </c>
      <c r="ER159" s="775">
        <f t="shared" si="268"/>
        <v>2.4200224082132031</v>
      </c>
      <c r="ES159" s="775">
        <f t="shared" si="269"/>
        <v>3.3158162425610698</v>
      </c>
      <c r="ET159" s="775">
        <f t="shared" si="270"/>
        <v>6.5201858491830258</v>
      </c>
      <c r="EU159" s="775">
        <f t="shared" si="271"/>
        <v>2.0871167366007546</v>
      </c>
      <c r="EV159" s="775">
        <f t="shared" si="272"/>
        <v>2.9848731526174066</v>
      </c>
      <c r="EW159" s="775">
        <f t="shared" si="273"/>
        <v>165.45053552696726</v>
      </c>
      <c r="EX159" s="775">
        <f t="shared" si="274"/>
        <v>26.82061170252107</v>
      </c>
      <c r="EY159" s="775">
        <f t="shared" si="307"/>
        <v>8.576581486910408</v>
      </c>
      <c r="EZ159" s="775">
        <f t="shared" si="275"/>
        <v>3.8984461304138214</v>
      </c>
      <c r="FA159" s="775">
        <f t="shared" si="276"/>
        <v>3.503618560512423</v>
      </c>
      <c r="FB159" s="775">
        <f t="shared" si="277"/>
        <v>3.0469323265593338</v>
      </c>
      <c r="FC159" s="775"/>
      <c r="FD159" s="775"/>
      <c r="FE159" s="775"/>
      <c r="FF159" s="775"/>
      <c r="FG159" s="775"/>
      <c r="FH159" s="775"/>
      <c r="FI159" s="775"/>
      <c r="FJ159" s="775"/>
      <c r="FK159" s="775" t="b">
        <f t="shared" si="308"/>
        <v>1</v>
      </c>
      <c r="FL159" s="775">
        <f t="shared" si="278"/>
        <v>7.0843959691771374E-2</v>
      </c>
      <c r="FM159" s="775">
        <v>19</v>
      </c>
      <c r="FN159" s="775">
        <f t="shared" si="309"/>
        <v>40.5</v>
      </c>
      <c r="FO159" s="673">
        <f t="shared" si="279"/>
        <v>40.429156040308229</v>
      </c>
      <c r="FP159" s="673">
        <f t="shared" si="280"/>
        <v>24.403675819467587</v>
      </c>
      <c r="FQ159" s="775" t="b">
        <f t="shared" si="281"/>
        <v>0</v>
      </c>
      <c r="FR159" s="673"/>
      <c r="FS159" s="775">
        <f t="shared" si="282"/>
        <v>40.429156040308229</v>
      </c>
      <c r="FT159" s="775">
        <f t="shared" si="283"/>
        <v>5.5994953291253244E-2</v>
      </c>
      <c r="FU159" s="775">
        <f t="shared" si="284"/>
        <v>6.5962353962120126E-3</v>
      </c>
      <c r="FV159" s="775">
        <f t="shared" si="285"/>
        <v>1.7394662444255247</v>
      </c>
      <c r="FW159" s="775">
        <f t="shared" si="286"/>
        <v>0.90329199564644824</v>
      </c>
      <c r="FX159" s="775">
        <f t="shared" si="287"/>
        <v>50.166987824541778</v>
      </c>
      <c r="FY159" s="775">
        <f t="shared" si="288"/>
        <v>85.631038445892187</v>
      </c>
      <c r="FZ159" s="775">
        <f t="shared" si="289"/>
        <v>30.666534852087629</v>
      </c>
      <c r="GA159" s="775">
        <f t="shared" si="290"/>
        <v>46.866003268838725</v>
      </c>
      <c r="GB159" s="775">
        <f t="shared" si="291"/>
        <v>78.616914420919557</v>
      </c>
      <c r="GC159" s="775">
        <f t="shared" si="292"/>
        <v>3.2013784976497828</v>
      </c>
      <c r="GD159" s="775">
        <f t="shared" si="293"/>
        <v>7.3854335835584513</v>
      </c>
      <c r="GE159" s="775">
        <f t="shared" si="294"/>
        <v>3.3570152652538412</v>
      </c>
      <c r="GF159" s="775">
        <f t="shared" si="295"/>
        <v>42.108291121362733</v>
      </c>
      <c r="GG159" s="775">
        <f t="shared" si="296"/>
        <v>40.429156040308229</v>
      </c>
    </row>
    <row r="160" spans="70:189">
      <c r="BR160" s="775"/>
      <c r="BS160" s="775"/>
      <c r="BT160" s="775"/>
      <c r="BU160" s="775"/>
      <c r="BV160" s="775"/>
      <c r="BW160" s="775"/>
      <c r="BX160" s="775"/>
      <c r="BY160" s="775" t="b">
        <f t="shared" si="297"/>
        <v>0</v>
      </c>
      <c r="BZ160" s="775">
        <f t="shared" si="229"/>
        <v>6.438823690501831</v>
      </c>
      <c r="CA160" s="775">
        <v>20</v>
      </c>
      <c r="CB160" s="775">
        <f t="shared" si="310"/>
        <v>10</v>
      </c>
      <c r="CC160" s="673">
        <f t="shared" si="230"/>
        <v>3.5611763094981694</v>
      </c>
      <c r="CD160" s="91">
        <f t="shared" si="228"/>
        <v>2</v>
      </c>
      <c r="CE160" s="775" t="b">
        <f t="shared" si="231"/>
        <v>0</v>
      </c>
      <c r="CF160" s="673"/>
      <c r="CG160" s="775">
        <f t="shared" si="232"/>
        <v>3.5611763094981694</v>
      </c>
      <c r="CH160" s="775">
        <f t="shared" si="233"/>
        <v>0.12587146803481825</v>
      </c>
      <c r="CI160" s="775">
        <f t="shared" si="234"/>
        <v>8.4187810779792135E-3</v>
      </c>
      <c r="CJ160" s="775">
        <f t="shared" si="235"/>
        <v>4.5972173138530579</v>
      </c>
      <c r="CK160" s="775">
        <f t="shared" si="236"/>
        <v>2.4311414875077828</v>
      </c>
      <c r="CL160" s="775">
        <f t="shared" si="237"/>
        <v>3.3577485583965005</v>
      </c>
      <c r="CM160" s="775">
        <f t="shared" si="238"/>
        <v>6.6026411097684186</v>
      </c>
      <c r="CN160" s="775">
        <f t="shared" si="239"/>
        <v>2.1013026426164578</v>
      </c>
      <c r="CO160" s="775">
        <f t="shared" si="240"/>
        <v>3.0044666224597925</v>
      </c>
      <c r="CP160" s="775">
        <f t="shared" si="241"/>
        <v>157.33933504352279</v>
      </c>
      <c r="CQ160" s="775">
        <f t="shared" si="242"/>
        <v>25.505733162449459</v>
      </c>
      <c r="CR160" s="775">
        <f t="shared" si="298"/>
        <v>9.0187237641971709</v>
      </c>
      <c r="CS160" s="775">
        <f t="shared" si="243"/>
        <v>4.0994198928168952</v>
      </c>
      <c r="CT160" s="775">
        <f t="shared" si="244"/>
        <v>3.5611763094981694</v>
      </c>
      <c r="CU160" s="775">
        <f t="shared" si="245"/>
        <v>3.0740907660408299</v>
      </c>
      <c r="CV160" s="775"/>
      <c r="CW160" s="775"/>
      <c r="CX160" s="775"/>
      <c r="CY160" s="775"/>
      <c r="CZ160" s="775"/>
      <c r="DA160" s="775"/>
      <c r="DB160" s="775"/>
      <c r="DC160" s="775"/>
      <c r="DD160" s="775" t="b">
        <f t="shared" si="299"/>
        <v>0</v>
      </c>
      <c r="DE160" s="775">
        <f t="shared" si="300"/>
        <v>4.0211973473244669</v>
      </c>
      <c r="DF160" s="776">
        <v>21</v>
      </c>
      <c r="DG160" s="775">
        <f t="shared" si="301"/>
        <v>40</v>
      </c>
      <c r="DH160" s="673">
        <f t="shared" si="302"/>
        <v>35.978802652675533</v>
      </c>
      <c r="DI160" s="673">
        <f t="shared" si="246"/>
        <v>19</v>
      </c>
      <c r="DJ160" s="775" t="b">
        <f t="shared" si="247"/>
        <v>0</v>
      </c>
      <c r="DK160" s="673"/>
      <c r="DL160" s="775">
        <f t="shared" si="303"/>
        <v>35.978802652675533</v>
      </c>
      <c r="DM160" s="775">
        <f t="shared" si="304"/>
        <v>5.6594265652348839E-2</v>
      </c>
      <c r="DN160" s="775">
        <f t="shared" si="305"/>
        <v>6.6668347123518771E-3</v>
      </c>
      <c r="DO160" s="775">
        <f t="shared" si="248"/>
        <v>1.7368372213368053</v>
      </c>
      <c r="DP160" s="775">
        <f t="shared" si="249"/>
        <v>0.90258892139531111</v>
      </c>
      <c r="DQ160" s="775">
        <f t="shared" si="250"/>
        <v>38.954756473605805</v>
      </c>
      <c r="DR160" s="775">
        <f t="shared" si="251"/>
        <v>66.492655706345957</v>
      </c>
      <c r="DS160" s="775">
        <f t="shared" si="252"/>
        <v>30.599264498625679</v>
      </c>
      <c r="DT160" s="775">
        <f t="shared" si="253"/>
        <v>46.771220258502098</v>
      </c>
      <c r="DU160" s="775">
        <f t="shared" si="254"/>
        <v>79.458348975897763</v>
      </c>
      <c r="DV160" s="775">
        <f t="shared" si="255"/>
        <v>3.2356427588628884</v>
      </c>
      <c r="DW160" s="775">
        <f t="shared" si="256"/>
        <v>20.058569307593544</v>
      </c>
      <c r="DX160" s="775">
        <f t="shared" si="257"/>
        <v>9.1175315034516107</v>
      </c>
      <c r="DY160" s="775">
        <f t="shared" si="258"/>
        <v>35.978802652675533</v>
      </c>
      <c r="DZ160" s="775">
        <f t="shared" si="259"/>
        <v>40.379502311471711</v>
      </c>
      <c r="EA160" s="775"/>
      <c r="EB160" s="775"/>
      <c r="EC160" s="775"/>
      <c r="ED160" s="775"/>
      <c r="EE160" s="775"/>
      <c r="EF160" s="775" t="b">
        <f t="shared" si="306"/>
        <v>0</v>
      </c>
      <c r="EG160" s="775">
        <f t="shared" si="260"/>
        <v>6.438823690501831</v>
      </c>
      <c r="EH160" s="775">
        <v>20</v>
      </c>
      <c r="EI160" s="775">
        <f t="shared" si="311"/>
        <v>10</v>
      </c>
      <c r="EJ160" s="673">
        <f t="shared" si="261"/>
        <v>3.5611763094981694</v>
      </c>
      <c r="EK160" s="673">
        <f t="shared" si="262"/>
        <v>2.2510196371999172</v>
      </c>
      <c r="EL160" s="775" t="b">
        <f t="shared" si="263"/>
        <v>0</v>
      </c>
      <c r="EM160" s="673"/>
      <c r="EN160" s="775">
        <f t="shared" si="264"/>
        <v>3.5611763094981694</v>
      </c>
      <c r="EO160" s="775">
        <f t="shared" si="265"/>
        <v>0.12587146803481825</v>
      </c>
      <c r="EP160" s="775">
        <f t="shared" si="266"/>
        <v>8.4187810779792135E-3</v>
      </c>
      <c r="EQ160" s="775">
        <f t="shared" si="267"/>
        <v>4.5972173138530579</v>
      </c>
      <c r="ER160" s="775">
        <f t="shared" si="268"/>
        <v>2.4311414875077828</v>
      </c>
      <c r="ES160" s="775">
        <f t="shared" si="269"/>
        <v>3.3577485583965005</v>
      </c>
      <c r="ET160" s="775">
        <f t="shared" si="270"/>
        <v>6.6026411097684186</v>
      </c>
      <c r="EU160" s="775">
        <f t="shared" si="271"/>
        <v>2.1013026426164578</v>
      </c>
      <c r="EV160" s="775">
        <f t="shared" si="272"/>
        <v>3.0044666224597925</v>
      </c>
      <c r="EW160" s="775">
        <f t="shared" si="273"/>
        <v>157.33933504352279</v>
      </c>
      <c r="EX160" s="775">
        <f t="shared" si="274"/>
        <v>25.505733162449459</v>
      </c>
      <c r="EY160" s="775">
        <f t="shared" si="307"/>
        <v>9.0187237641971709</v>
      </c>
      <c r="EZ160" s="775">
        <f t="shared" si="275"/>
        <v>4.0994198928168952</v>
      </c>
      <c r="FA160" s="775">
        <f t="shared" si="276"/>
        <v>3.5611763094981694</v>
      </c>
      <c r="FB160" s="775">
        <f t="shared" si="277"/>
        <v>3.0740907660408299</v>
      </c>
      <c r="FC160" s="775"/>
      <c r="FD160" s="775"/>
      <c r="FE160" s="775"/>
      <c r="FF160" s="775"/>
      <c r="FG160" s="775"/>
      <c r="FH160" s="775"/>
      <c r="FI160" s="775"/>
      <c r="FJ160" s="775"/>
      <c r="FK160" s="775" t="b">
        <f t="shared" si="308"/>
        <v>0</v>
      </c>
      <c r="FL160" s="775">
        <f t="shared" si="278"/>
        <v>0.3795023114717111</v>
      </c>
      <c r="FM160" s="775">
        <v>20</v>
      </c>
      <c r="FN160" s="775">
        <f t="shared" si="309"/>
        <v>40</v>
      </c>
      <c r="FO160" s="673">
        <f t="shared" si="279"/>
        <v>40.379502311471711</v>
      </c>
      <c r="FP160" s="673">
        <f t="shared" si="280"/>
        <v>24.403675819467587</v>
      </c>
      <c r="FQ160" s="775" t="b">
        <f t="shared" si="281"/>
        <v>0</v>
      </c>
      <c r="FR160" s="673"/>
      <c r="FS160" s="775">
        <f t="shared" si="282"/>
        <v>40.379502311471711</v>
      </c>
      <c r="FT160" s="775">
        <f t="shared" si="283"/>
        <v>5.6594265652348839E-2</v>
      </c>
      <c r="FU160" s="775">
        <f t="shared" si="284"/>
        <v>6.6668347123518771E-3</v>
      </c>
      <c r="FV160" s="775">
        <f t="shared" si="285"/>
        <v>1.7368372213368053</v>
      </c>
      <c r="FW160" s="775">
        <f t="shared" si="286"/>
        <v>0.90258892139531111</v>
      </c>
      <c r="FX160" s="775">
        <f t="shared" si="287"/>
        <v>50.033644663588547</v>
      </c>
      <c r="FY160" s="775">
        <f t="shared" si="288"/>
        <v>85.403432328059907</v>
      </c>
      <c r="FZ160" s="775">
        <f t="shared" si="289"/>
        <v>30.599264498625679</v>
      </c>
      <c r="GA160" s="775">
        <f t="shared" si="290"/>
        <v>46.771220258502098</v>
      </c>
      <c r="GB160" s="775">
        <f t="shared" si="291"/>
        <v>79.458348975897763</v>
      </c>
      <c r="GC160" s="775">
        <f t="shared" si="292"/>
        <v>3.2356427588628884</v>
      </c>
      <c r="GD160" s="775">
        <f t="shared" si="293"/>
        <v>7.3072245709021768</v>
      </c>
      <c r="GE160" s="775">
        <f t="shared" si="294"/>
        <v>3.3214657140464436</v>
      </c>
      <c r="GF160" s="775">
        <f t="shared" si="295"/>
        <v>42.042299274342504</v>
      </c>
      <c r="GG160" s="775">
        <f t="shared" si="296"/>
        <v>40.379502311471711</v>
      </c>
    </row>
    <row r="161" spans="70:189">
      <c r="BR161" s="32"/>
      <c r="BS161" s="32"/>
      <c r="BT161" s="32"/>
      <c r="BU161" s="32"/>
      <c r="BV161" s="32"/>
      <c r="BW161" s="32"/>
      <c r="BX161" s="32"/>
      <c r="BY161" s="775" t="b">
        <f t="shared" si="297"/>
        <v>0</v>
      </c>
      <c r="BZ161" s="775">
        <f t="shared" si="229"/>
        <v>6.8834643042376022</v>
      </c>
      <c r="CA161" s="775">
        <v>21</v>
      </c>
      <c r="CB161" s="775">
        <f t="shared" si="310"/>
        <v>10.5</v>
      </c>
      <c r="CC161" s="673">
        <f t="shared" si="230"/>
        <v>3.6165356957623978</v>
      </c>
      <c r="CD161" s="91">
        <f t="shared" si="228"/>
        <v>2</v>
      </c>
      <c r="CE161" s="775" t="b">
        <f t="shared" si="231"/>
        <v>0</v>
      </c>
      <c r="CF161" s="673"/>
      <c r="CG161" s="775">
        <f t="shared" si="232"/>
        <v>3.6165356957623978</v>
      </c>
      <c r="CH161" s="775">
        <f t="shared" si="233"/>
        <v>0.11999462264096579</v>
      </c>
      <c r="CI161" s="775">
        <f t="shared" si="234"/>
        <v>8.0257144396661644E-3</v>
      </c>
      <c r="CJ161" s="775">
        <f t="shared" si="235"/>
        <v>4.6340768993951622</v>
      </c>
      <c r="CK161" s="775">
        <f t="shared" si="236"/>
        <v>2.4413450735635149</v>
      </c>
      <c r="CL161" s="775">
        <f t="shared" si="237"/>
        <v>3.3981265589726251</v>
      </c>
      <c r="CM161" s="775">
        <f t="shared" si="238"/>
        <v>6.6820399813329674</v>
      </c>
      <c r="CN161" s="775">
        <f t="shared" si="239"/>
        <v>2.114874643203621</v>
      </c>
      <c r="CO161" s="775">
        <f t="shared" si="240"/>
        <v>3.0232145480032706</v>
      </c>
      <c r="CP161" s="775">
        <f t="shared" si="241"/>
        <v>149.99327830120723</v>
      </c>
      <c r="CQ161" s="775">
        <f t="shared" si="242"/>
        <v>24.314889416898577</v>
      </c>
      <c r="CR161" s="775">
        <f t="shared" si="298"/>
        <v>9.4604239341342478</v>
      </c>
      <c r="CS161" s="775">
        <f t="shared" si="243"/>
        <v>4.300192697333749</v>
      </c>
      <c r="CT161" s="775">
        <f t="shared" si="244"/>
        <v>3.6165356957623978</v>
      </c>
      <c r="CU161" s="775">
        <f t="shared" si="245"/>
        <v>3.1000629588904496</v>
      </c>
      <c r="CV161" s="32"/>
      <c r="CW161" s="32"/>
      <c r="CX161" s="32"/>
      <c r="CY161" s="32"/>
      <c r="CZ161" s="32"/>
      <c r="DA161" s="32"/>
      <c r="DB161" s="32"/>
      <c r="DC161" s="32"/>
      <c r="DD161" s="775" t="b">
        <f t="shared" si="299"/>
        <v>0</v>
      </c>
      <c r="DE161" s="775">
        <f t="shared" si="300"/>
        <v>3.584643402601607</v>
      </c>
      <c r="DF161" s="776">
        <v>22</v>
      </c>
      <c r="DG161" s="775">
        <f t="shared" si="301"/>
        <v>39.5</v>
      </c>
      <c r="DH161" s="673">
        <f t="shared" si="302"/>
        <v>35.915356597398393</v>
      </c>
      <c r="DI161" s="673">
        <f t="shared" si="246"/>
        <v>19</v>
      </c>
      <c r="DJ161" s="775" t="b">
        <f t="shared" si="247"/>
        <v>0</v>
      </c>
      <c r="DK161" s="673"/>
      <c r="DL161" s="775">
        <f t="shared" si="303"/>
        <v>35.915356597398393</v>
      </c>
      <c r="DM161" s="775">
        <f t="shared" si="304"/>
        <v>5.7207652984133057E-2</v>
      </c>
      <c r="DN161" s="775">
        <f t="shared" si="305"/>
        <v>6.7390920675541918E-3</v>
      </c>
      <c r="DO161" s="775">
        <f t="shared" si="248"/>
        <v>1.734157126660995</v>
      </c>
      <c r="DP161" s="775">
        <f t="shared" si="249"/>
        <v>0.9018710326038395</v>
      </c>
      <c r="DQ161" s="775">
        <f t="shared" si="250"/>
        <v>38.849914583786187</v>
      </c>
      <c r="DR161" s="775">
        <f t="shared" si="251"/>
        <v>66.31369898027576</v>
      </c>
      <c r="DS161" s="775">
        <f t="shared" si="252"/>
        <v>30.531273263561072</v>
      </c>
      <c r="DT161" s="775">
        <f t="shared" si="253"/>
        <v>46.675398266083796</v>
      </c>
      <c r="DU161" s="775">
        <f t="shared" si="254"/>
        <v>80.319544789722812</v>
      </c>
      <c r="DV161" s="775">
        <f t="shared" si="255"/>
        <v>3.2707117231049128</v>
      </c>
      <c r="DW161" s="775">
        <f t="shared" si="256"/>
        <v>19.843498916392456</v>
      </c>
      <c r="DX161" s="775">
        <f t="shared" si="257"/>
        <v>9.0197722347238418</v>
      </c>
      <c r="DY161" s="775">
        <f t="shared" si="258"/>
        <v>35.915356597398393</v>
      </c>
      <c r="DZ161" s="775">
        <f t="shared" si="259"/>
        <v>40.329220081677995</v>
      </c>
      <c r="EA161" s="32"/>
      <c r="EB161" s="32"/>
      <c r="EC161" s="32"/>
      <c r="ED161" s="32"/>
      <c r="EE161" s="32"/>
      <c r="EF161" s="775" t="b">
        <f t="shared" si="306"/>
        <v>0</v>
      </c>
      <c r="EG161" s="775">
        <f t="shared" si="260"/>
        <v>6.8834643042376022</v>
      </c>
      <c r="EH161" s="775">
        <v>21</v>
      </c>
      <c r="EI161" s="775">
        <f t="shared" si="311"/>
        <v>10.5</v>
      </c>
      <c r="EJ161" s="673">
        <f t="shared" si="261"/>
        <v>3.6165356957623978</v>
      </c>
      <c r="EK161" s="673">
        <f t="shared" si="262"/>
        <v>2.2510196371999172</v>
      </c>
      <c r="EL161" s="775" t="b">
        <f t="shared" si="263"/>
        <v>0</v>
      </c>
      <c r="EM161" s="673"/>
      <c r="EN161" s="775">
        <f t="shared" si="264"/>
        <v>3.6165356957623978</v>
      </c>
      <c r="EO161" s="775">
        <f t="shared" si="265"/>
        <v>0.11999462264096579</v>
      </c>
      <c r="EP161" s="775">
        <f t="shared" si="266"/>
        <v>8.0257144396661644E-3</v>
      </c>
      <c r="EQ161" s="775">
        <f t="shared" si="267"/>
        <v>4.6340768993951622</v>
      </c>
      <c r="ER161" s="775">
        <f t="shared" si="268"/>
        <v>2.4413450735635149</v>
      </c>
      <c r="ES161" s="775">
        <f t="shared" si="269"/>
        <v>3.3981265589726251</v>
      </c>
      <c r="ET161" s="775">
        <f t="shared" si="270"/>
        <v>6.6820399813329674</v>
      </c>
      <c r="EU161" s="775">
        <f t="shared" si="271"/>
        <v>2.114874643203621</v>
      </c>
      <c r="EV161" s="775">
        <f t="shared" si="272"/>
        <v>3.0232145480032706</v>
      </c>
      <c r="EW161" s="775">
        <f t="shared" si="273"/>
        <v>149.99327830120723</v>
      </c>
      <c r="EX161" s="775">
        <f t="shared" si="274"/>
        <v>24.314889416898577</v>
      </c>
      <c r="EY161" s="775">
        <f t="shared" si="307"/>
        <v>9.4604239341342478</v>
      </c>
      <c r="EZ161" s="775">
        <f t="shared" si="275"/>
        <v>4.300192697333749</v>
      </c>
      <c r="FA161" s="775">
        <f t="shared" si="276"/>
        <v>3.6165356957623978</v>
      </c>
      <c r="FB161" s="775">
        <f t="shared" si="277"/>
        <v>3.1000629588904496</v>
      </c>
      <c r="FC161" s="32"/>
      <c r="FD161" s="32"/>
      <c r="FE161" s="32"/>
      <c r="FF161" s="32"/>
      <c r="FG161" s="32"/>
      <c r="FH161" s="32"/>
      <c r="FI161" s="32"/>
      <c r="FJ161" s="32"/>
      <c r="FK161" s="775" t="b">
        <f t="shared" si="308"/>
        <v>0</v>
      </c>
      <c r="FL161" s="775">
        <f t="shared" si="278"/>
        <v>0.82922008167799532</v>
      </c>
      <c r="FM161" s="775">
        <v>21</v>
      </c>
      <c r="FN161" s="775">
        <f t="shared" si="309"/>
        <v>39.5</v>
      </c>
      <c r="FO161" s="673">
        <f t="shared" si="279"/>
        <v>40.329220081677995</v>
      </c>
      <c r="FP161" s="673">
        <f t="shared" si="280"/>
        <v>24.403675819467587</v>
      </c>
      <c r="FQ161" s="775" t="b">
        <f t="shared" si="281"/>
        <v>0</v>
      </c>
      <c r="FR161" s="673"/>
      <c r="FS161" s="775">
        <f t="shared" si="282"/>
        <v>40.329220081677995</v>
      </c>
      <c r="FT161" s="775">
        <f t="shared" si="283"/>
        <v>5.7207652984133057E-2</v>
      </c>
      <c r="FU161" s="775">
        <f t="shared" si="284"/>
        <v>6.7390920675541918E-3</v>
      </c>
      <c r="FV161" s="775">
        <f t="shared" si="285"/>
        <v>1.734157126660995</v>
      </c>
      <c r="FW161" s="775">
        <f t="shared" si="286"/>
        <v>0.9018710326038395</v>
      </c>
      <c r="FX161" s="775">
        <f t="shared" si="287"/>
        <v>49.898985321932855</v>
      </c>
      <c r="FY161" s="775">
        <f t="shared" si="288"/>
        <v>85.173579594968842</v>
      </c>
      <c r="FZ161" s="775">
        <f t="shared" si="289"/>
        <v>30.531273263561072</v>
      </c>
      <c r="GA161" s="775">
        <f t="shared" si="290"/>
        <v>46.675398266083796</v>
      </c>
      <c r="GB161" s="775">
        <f t="shared" si="291"/>
        <v>80.319544789722812</v>
      </c>
      <c r="GC161" s="775">
        <f t="shared" si="292"/>
        <v>3.2707117231049128</v>
      </c>
      <c r="GD161" s="775">
        <f t="shared" si="293"/>
        <v>7.2288756307081625</v>
      </c>
      <c r="GE161" s="775">
        <f t="shared" si="294"/>
        <v>3.2858525594128007</v>
      </c>
      <c r="GF161" s="775">
        <f t="shared" si="295"/>
        <v>41.975503184810442</v>
      </c>
      <c r="GG161" s="775">
        <f t="shared" si="296"/>
        <v>40.329220081677995</v>
      </c>
    </row>
    <row r="162" spans="70:189">
      <c r="BR162" s="775"/>
      <c r="BS162" s="775"/>
      <c r="BT162" s="775"/>
      <c r="BU162" s="775"/>
      <c r="BV162" s="775"/>
      <c r="BW162" s="775"/>
      <c r="BX162" s="775"/>
      <c r="BY162" s="775" t="b">
        <f t="shared" si="297"/>
        <v>0</v>
      </c>
      <c r="BZ162" s="775">
        <f t="shared" si="229"/>
        <v>7.3301210618778576</v>
      </c>
      <c r="CA162" s="775">
        <v>22</v>
      </c>
      <c r="CB162" s="775">
        <f t="shared" si="310"/>
        <v>11</v>
      </c>
      <c r="CC162" s="673">
        <f t="shared" si="230"/>
        <v>3.6698789381221424</v>
      </c>
      <c r="CD162" s="91">
        <f t="shared" si="228"/>
        <v>2</v>
      </c>
      <c r="CE162" s="775" t="b">
        <f t="shared" si="231"/>
        <v>0</v>
      </c>
      <c r="CF162" s="673"/>
      <c r="CG162" s="775">
        <f t="shared" si="232"/>
        <v>3.6698789381221424</v>
      </c>
      <c r="CH162" s="775">
        <f t="shared" si="233"/>
        <v>0.11464693955386734</v>
      </c>
      <c r="CI162" s="775">
        <f t="shared" si="234"/>
        <v>7.6680402670550986E-3</v>
      </c>
      <c r="CJ162" s="775">
        <f t="shared" si="235"/>
        <v>4.6682932861202202</v>
      </c>
      <c r="CK162" s="775">
        <f t="shared" si="236"/>
        <v>2.4507424263530981</v>
      </c>
      <c r="CL162" s="775">
        <f t="shared" si="237"/>
        <v>3.437077930236248</v>
      </c>
      <c r="CM162" s="775">
        <f t="shared" si="238"/>
        <v>6.7586335441665906</v>
      </c>
      <c r="CN162" s="775">
        <f t="shared" si="239"/>
        <v>2.1278867484411794</v>
      </c>
      <c r="CO162" s="775">
        <f t="shared" si="240"/>
        <v>3.0411912170218245</v>
      </c>
      <c r="CP162" s="775">
        <f t="shared" si="241"/>
        <v>143.30867444233419</v>
      </c>
      <c r="CQ162" s="775">
        <f t="shared" si="242"/>
        <v>23.231271501048525</v>
      </c>
      <c r="CR162" s="775">
        <f t="shared" si="298"/>
        <v>9.9017034769307681</v>
      </c>
      <c r="CS162" s="775">
        <f t="shared" si="243"/>
        <v>4.5007743076958029</v>
      </c>
      <c r="CT162" s="775">
        <f t="shared" si="244"/>
        <v>3.6698789381221424</v>
      </c>
      <c r="CU162" s="775">
        <f t="shared" si="245"/>
        <v>3.1249536331301613</v>
      </c>
      <c r="CV162" s="775"/>
      <c r="CW162" s="775"/>
      <c r="CX162" s="775"/>
      <c r="CY162" s="775"/>
      <c r="CZ162" s="775"/>
      <c r="DA162" s="775"/>
      <c r="DB162" s="775"/>
      <c r="DC162" s="775"/>
      <c r="DD162" s="775" t="b">
        <f t="shared" si="299"/>
        <v>0</v>
      </c>
      <c r="DE162" s="775">
        <f t="shared" si="300"/>
        <v>3.1488514494958011</v>
      </c>
      <c r="DF162" s="776">
        <v>23</v>
      </c>
      <c r="DG162" s="775">
        <f t="shared" si="301"/>
        <v>39</v>
      </c>
      <c r="DH162" s="673">
        <f t="shared" si="302"/>
        <v>35.851148550504199</v>
      </c>
      <c r="DI162" s="673">
        <f t="shared" si="246"/>
        <v>19</v>
      </c>
      <c r="DJ162" s="775" t="b">
        <f t="shared" si="247"/>
        <v>0</v>
      </c>
      <c r="DK162" s="673"/>
      <c r="DL162" s="775">
        <f t="shared" si="303"/>
        <v>35.851148550504199</v>
      </c>
      <c r="DM162" s="775">
        <f t="shared" si="304"/>
        <v>5.7835630359187803E-2</v>
      </c>
      <c r="DN162" s="775">
        <f t="shared" si="305"/>
        <v>6.8130681376441281E-3</v>
      </c>
      <c r="DO162" s="775">
        <f t="shared" si="248"/>
        <v>1.7314243945081038</v>
      </c>
      <c r="DP162" s="775">
        <f t="shared" si="249"/>
        <v>0.90113783977606898</v>
      </c>
      <c r="DQ162" s="775">
        <f t="shared" si="250"/>
        <v>38.744024673037686</v>
      </c>
      <c r="DR162" s="775">
        <f t="shared" si="251"/>
        <v>66.132953366246667</v>
      </c>
      <c r="DS162" s="775">
        <f t="shared" si="252"/>
        <v>30.462544235824378</v>
      </c>
      <c r="DT162" s="775">
        <f t="shared" si="253"/>
        <v>46.578512644691962</v>
      </c>
      <c r="DU162" s="775">
        <f t="shared" si="254"/>
        <v>81.201225024299674</v>
      </c>
      <c r="DV162" s="775">
        <f t="shared" si="255"/>
        <v>3.3066148384277154</v>
      </c>
      <c r="DW162" s="775">
        <f t="shared" si="256"/>
        <v>19.628038856840462</v>
      </c>
      <c r="DX162" s="775">
        <f t="shared" si="257"/>
        <v>8.9218358440183909</v>
      </c>
      <c r="DY162" s="775">
        <f t="shared" si="258"/>
        <v>35.851148550504199</v>
      </c>
      <c r="DZ162" s="775">
        <f t="shared" si="259"/>
        <v>40.278293412417689</v>
      </c>
      <c r="EA162" s="775"/>
      <c r="EB162" s="775"/>
      <c r="EC162" s="775"/>
      <c r="ED162" s="775"/>
      <c r="EE162" s="775"/>
      <c r="EF162" s="775" t="b">
        <f t="shared" si="306"/>
        <v>0</v>
      </c>
      <c r="EG162" s="775">
        <f t="shared" si="260"/>
        <v>7.3301210618778576</v>
      </c>
      <c r="EH162" s="775">
        <v>22</v>
      </c>
      <c r="EI162" s="775">
        <f t="shared" si="311"/>
        <v>11</v>
      </c>
      <c r="EJ162" s="673">
        <f t="shared" si="261"/>
        <v>3.6698789381221424</v>
      </c>
      <c r="EK162" s="673">
        <f t="shared" si="262"/>
        <v>2.2510196371999172</v>
      </c>
      <c r="EL162" s="775" t="b">
        <f t="shared" si="263"/>
        <v>0</v>
      </c>
      <c r="EM162" s="673"/>
      <c r="EN162" s="775">
        <f t="shared" si="264"/>
        <v>3.6698789381221424</v>
      </c>
      <c r="EO162" s="775">
        <f t="shared" si="265"/>
        <v>0.11464693955386734</v>
      </c>
      <c r="EP162" s="775">
        <f t="shared" si="266"/>
        <v>7.6680402670550986E-3</v>
      </c>
      <c r="EQ162" s="775">
        <f t="shared" si="267"/>
        <v>4.6682932861202202</v>
      </c>
      <c r="ER162" s="775">
        <f t="shared" si="268"/>
        <v>2.4507424263530981</v>
      </c>
      <c r="ES162" s="775">
        <f t="shared" si="269"/>
        <v>3.437077930236248</v>
      </c>
      <c r="ET162" s="775">
        <f t="shared" si="270"/>
        <v>6.7586335441665906</v>
      </c>
      <c r="EU162" s="775">
        <f t="shared" si="271"/>
        <v>2.1278867484411794</v>
      </c>
      <c r="EV162" s="775">
        <f t="shared" si="272"/>
        <v>3.0411912170218245</v>
      </c>
      <c r="EW162" s="775">
        <f t="shared" si="273"/>
        <v>143.30867444233419</v>
      </c>
      <c r="EX162" s="775">
        <f t="shared" si="274"/>
        <v>23.231271501048525</v>
      </c>
      <c r="EY162" s="775">
        <f t="shared" si="307"/>
        <v>9.9017034769307681</v>
      </c>
      <c r="EZ162" s="775">
        <f t="shared" si="275"/>
        <v>4.5007743076958029</v>
      </c>
      <c r="FA162" s="775">
        <f t="shared" si="276"/>
        <v>3.6698789381221424</v>
      </c>
      <c r="FB162" s="775">
        <f t="shared" si="277"/>
        <v>3.1249536331301613</v>
      </c>
      <c r="FC162" s="775"/>
      <c r="FD162" s="775"/>
      <c r="FE162" s="775"/>
      <c r="FF162" s="775"/>
      <c r="FG162" s="775"/>
      <c r="FH162" s="775"/>
      <c r="FI162" s="775"/>
      <c r="FJ162" s="775"/>
      <c r="FK162" s="775" t="b">
        <f t="shared" si="308"/>
        <v>0</v>
      </c>
      <c r="FL162" s="775">
        <f t="shared" si="278"/>
        <v>1.278293412417689</v>
      </c>
      <c r="FM162" s="775">
        <v>22</v>
      </c>
      <c r="FN162" s="775">
        <f t="shared" si="309"/>
        <v>39</v>
      </c>
      <c r="FO162" s="673">
        <f t="shared" si="279"/>
        <v>40.278293412417689</v>
      </c>
      <c r="FP162" s="673">
        <f t="shared" si="280"/>
        <v>24.403675819467587</v>
      </c>
      <c r="FQ162" s="775" t="b">
        <f t="shared" si="281"/>
        <v>0</v>
      </c>
      <c r="FR162" s="673"/>
      <c r="FS162" s="775">
        <f t="shared" si="282"/>
        <v>40.278293412417689</v>
      </c>
      <c r="FT162" s="775">
        <f t="shared" si="283"/>
        <v>5.7835630359187803E-2</v>
      </c>
      <c r="FU162" s="775">
        <f t="shared" si="284"/>
        <v>6.8130681376441281E-3</v>
      </c>
      <c r="FV162" s="775">
        <f t="shared" si="285"/>
        <v>1.7314243945081038</v>
      </c>
      <c r="FW162" s="775">
        <f t="shared" si="286"/>
        <v>0.90113783977606898</v>
      </c>
      <c r="FX162" s="775">
        <f t="shared" si="287"/>
        <v>49.762979898013967</v>
      </c>
      <c r="FY162" s="775">
        <f t="shared" si="288"/>
        <v>84.941429207044806</v>
      </c>
      <c r="FZ162" s="775">
        <f t="shared" si="289"/>
        <v>30.462544235824378</v>
      </c>
      <c r="GA162" s="775">
        <f t="shared" si="290"/>
        <v>46.578512644691962</v>
      </c>
      <c r="GB162" s="775">
        <f t="shared" si="291"/>
        <v>81.201225024299674</v>
      </c>
      <c r="GC162" s="775">
        <f t="shared" si="292"/>
        <v>3.3066148384277154</v>
      </c>
      <c r="GD162" s="775">
        <f t="shared" si="293"/>
        <v>7.15038473651411</v>
      </c>
      <c r="GE162" s="775">
        <f t="shared" si="294"/>
        <v>3.2501748802336863</v>
      </c>
      <c r="GF162" s="775">
        <f t="shared" si="295"/>
        <v>41.907882924907291</v>
      </c>
      <c r="GG162" s="775">
        <f t="shared" si="296"/>
        <v>40.278293412417689</v>
      </c>
    </row>
    <row r="163" spans="70:189">
      <c r="BR163" s="775"/>
      <c r="BS163" s="775"/>
      <c r="BT163" s="775"/>
      <c r="BU163" s="775"/>
      <c r="BV163" s="775"/>
      <c r="BW163" s="775"/>
      <c r="BX163" s="775"/>
      <c r="BY163" s="775" t="b">
        <f t="shared" si="297"/>
        <v>0</v>
      </c>
      <c r="BZ163" s="775">
        <f t="shared" si="229"/>
        <v>7.7786343063926937</v>
      </c>
      <c r="CA163" s="775">
        <v>23</v>
      </c>
      <c r="CB163" s="775">
        <f t="shared" si="310"/>
        <v>11.5</v>
      </c>
      <c r="CC163" s="673">
        <f t="shared" si="230"/>
        <v>3.7213656936073063</v>
      </c>
      <c r="CD163" s="91">
        <f t="shared" si="228"/>
        <v>2</v>
      </c>
      <c r="CE163" s="775" t="b">
        <f t="shared" si="231"/>
        <v>0</v>
      </c>
      <c r="CF163" s="673"/>
      <c r="CG163" s="775">
        <f t="shared" si="232"/>
        <v>3.7213656936073063</v>
      </c>
      <c r="CH163" s="775">
        <f t="shared" si="233"/>
        <v>0.10975982700010306</v>
      </c>
      <c r="CI163" s="775">
        <f t="shared" si="234"/>
        <v>7.341170871345783E-3</v>
      </c>
      <c r="CJ163" s="775">
        <f t="shared" si="235"/>
        <v>4.7001435695440197</v>
      </c>
      <c r="CK163" s="775">
        <f t="shared" si="236"/>
        <v>2.459426014594039</v>
      </c>
      <c r="CL163" s="775">
        <f t="shared" si="237"/>
        <v>3.4747146250358956</v>
      </c>
      <c r="CM163" s="775">
        <f t="shared" si="238"/>
        <v>6.8326419411618176</v>
      </c>
      <c r="CN163" s="775">
        <f t="shared" si="239"/>
        <v>2.140386018257884</v>
      </c>
      <c r="CO163" s="775">
        <f t="shared" si="240"/>
        <v>3.0584613660538098</v>
      </c>
      <c r="CP163" s="775">
        <f t="shared" si="241"/>
        <v>137.19978375012883</v>
      </c>
      <c r="CQ163" s="775">
        <f t="shared" si="242"/>
        <v>22.240980447188019</v>
      </c>
      <c r="CR163" s="775">
        <f t="shared" si="298"/>
        <v>10.342581899285738</v>
      </c>
      <c r="CS163" s="775">
        <f t="shared" si="243"/>
        <v>4.7011735905844265</v>
      </c>
      <c r="CT163" s="775">
        <f t="shared" si="244"/>
        <v>3.7213656936073063</v>
      </c>
      <c r="CU163" s="775">
        <f t="shared" si="245"/>
        <v>3.1488540124074023</v>
      </c>
      <c r="CV163" s="775"/>
      <c r="CW163" s="775"/>
      <c r="CX163" s="775"/>
      <c r="CY163" s="775"/>
      <c r="CZ163" s="775"/>
      <c r="DA163" s="775"/>
      <c r="DB163" s="775"/>
      <c r="DC163" s="775"/>
      <c r="DD163" s="775" t="b">
        <f t="shared" si="299"/>
        <v>0</v>
      </c>
      <c r="DE163" s="775">
        <f t="shared" si="300"/>
        <v>2.7138403603377483</v>
      </c>
      <c r="DF163" s="776">
        <v>24</v>
      </c>
      <c r="DG163" s="775">
        <f t="shared" si="301"/>
        <v>38.5</v>
      </c>
      <c r="DH163" s="673">
        <f t="shared" si="302"/>
        <v>35.786159639662252</v>
      </c>
      <c r="DI163" s="673">
        <f t="shared" si="246"/>
        <v>19</v>
      </c>
      <c r="DJ163" s="775" t="b">
        <f t="shared" si="247"/>
        <v>0</v>
      </c>
      <c r="DK163" s="673"/>
      <c r="DL163" s="775">
        <f t="shared" si="303"/>
        <v>35.786159639662252</v>
      </c>
      <c r="DM163" s="775">
        <f t="shared" si="304"/>
        <v>5.8478738626858651E-2</v>
      </c>
      <c r="DN163" s="775">
        <f t="shared" si="305"/>
        <v>6.8888266349633794E-3</v>
      </c>
      <c r="DO163" s="775">
        <f t="shared" si="248"/>
        <v>1.7286373926719591</v>
      </c>
      <c r="DP163" s="775">
        <f t="shared" si="249"/>
        <v>0.90038883119392099</v>
      </c>
      <c r="DQ163" s="775">
        <f t="shared" si="250"/>
        <v>38.637062625146974</v>
      </c>
      <c r="DR163" s="775">
        <f t="shared" si="251"/>
        <v>65.95037769981009</v>
      </c>
      <c r="DS163" s="775">
        <f t="shared" si="252"/>
        <v>30.393059885485954</v>
      </c>
      <c r="DT163" s="775">
        <f t="shared" si="253"/>
        <v>46.480537838865992</v>
      </c>
      <c r="DU163" s="775">
        <f t="shared" si="254"/>
        <v>82.104149032109547</v>
      </c>
      <c r="DV163" s="775">
        <f t="shared" si="255"/>
        <v>3.3433830266084144</v>
      </c>
      <c r="DW163" s="775">
        <f t="shared" si="256"/>
        <v>19.412183413248503</v>
      </c>
      <c r="DX163" s="775">
        <f t="shared" si="257"/>
        <v>8.823719733294773</v>
      </c>
      <c r="DY163" s="775">
        <f t="shared" si="258"/>
        <v>35.786159639662252</v>
      </c>
      <c r="DZ163" s="775">
        <f t="shared" si="259"/>
        <v>40.226705751958612</v>
      </c>
      <c r="EA163" s="775"/>
      <c r="EB163" s="775"/>
      <c r="EC163" s="775"/>
      <c r="ED163" s="775"/>
      <c r="EE163" s="775"/>
      <c r="EF163" s="775" t="b">
        <f t="shared" si="306"/>
        <v>0</v>
      </c>
      <c r="EG163" s="775">
        <f t="shared" si="260"/>
        <v>7.7786343063926937</v>
      </c>
      <c r="EH163" s="775">
        <v>23</v>
      </c>
      <c r="EI163" s="775">
        <f t="shared" si="311"/>
        <v>11.5</v>
      </c>
      <c r="EJ163" s="673">
        <f t="shared" si="261"/>
        <v>3.7213656936073063</v>
      </c>
      <c r="EK163" s="673">
        <f t="shared" si="262"/>
        <v>2.2510196371999172</v>
      </c>
      <c r="EL163" s="775" t="b">
        <f t="shared" si="263"/>
        <v>0</v>
      </c>
      <c r="EM163" s="673"/>
      <c r="EN163" s="775">
        <f t="shared" si="264"/>
        <v>3.7213656936073063</v>
      </c>
      <c r="EO163" s="775">
        <f t="shared" si="265"/>
        <v>0.10975982700010306</v>
      </c>
      <c r="EP163" s="775">
        <f t="shared" si="266"/>
        <v>7.341170871345783E-3</v>
      </c>
      <c r="EQ163" s="775">
        <f t="shared" si="267"/>
        <v>4.7001435695440197</v>
      </c>
      <c r="ER163" s="775">
        <f t="shared" si="268"/>
        <v>2.459426014594039</v>
      </c>
      <c r="ES163" s="775">
        <f t="shared" si="269"/>
        <v>3.4747146250358956</v>
      </c>
      <c r="ET163" s="775">
        <f t="shared" si="270"/>
        <v>6.8326419411618176</v>
      </c>
      <c r="EU163" s="775">
        <f t="shared" si="271"/>
        <v>2.140386018257884</v>
      </c>
      <c r="EV163" s="775">
        <f t="shared" si="272"/>
        <v>3.0584613660538098</v>
      </c>
      <c r="EW163" s="775">
        <f t="shared" si="273"/>
        <v>137.19978375012883</v>
      </c>
      <c r="EX163" s="775">
        <f t="shared" si="274"/>
        <v>22.240980447188019</v>
      </c>
      <c r="EY163" s="775">
        <f t="shared" si="307"/>
        <v>10.342581899285738</v>
      </c>
      <c r="EZ163" s="775">
        <f t="shared" si="275"/>
        <v>4.7011735905844265</v>
      </c>
      <c r="FA163" s="775">
        <f t="shared" si="276"/>
        <v>3.7213656936073063</v>
      </c>
      <c r="FB163" s="775">
        <f t="shared" si="277"/>
        <v>3.1488540124074023</v>
      </c>
      <c r="FC163" s="775"/>
      <c r="FD163" s="775"/>
      <c r="FE163" s="775"/>
      <c r="FF163" s="775"/>
      <c r="FG163" s="775"/>
      <c r="FH163" s="775"/>
      <c r="FI163" s="775"/>
      <c r="FJ163" s="775"/>
      <c r="FK163" s="775" t="b">
        <f t="shared" si="308"/>
        <v>0</v>
      </c>
      <c r="FL163" s="775">
        <f t="shared" si="278"/>
        <v>1.7267057519586118</v>
      </c>
      <c r="FM163" s="775">
        <v>23</v>
      </c>
      <c r="FN163" s="775">
        <f t="shared" si="309"/>
        <v>38.5</v>
      </c>
      <c r="FO163" s="673">
        <f t="shared" si="279"/>
        <v>40.226705751958612</v>
      </c>
      <c r="FP163" s="673">
        <f t="shared" si="280"/>
        <v>24.403675819467587</v>
      </c>
      <c r="FQ163" s="775" t="b">
        <f t="shared" si="281"/>
        <v>0</v>
      </c>
      <c r="FR163" s="673"/>
      <c r="FS163" s="775">
        <f t="shared" si="282"/>
        <v>40.226705751958612</v>
      </c>
      <c r="FT163" s="775">
        <f t="shared" si="283"/>
        <v>5.8478738626858651E-2</v>
      </c>
      <c r="FU163" s="775">
        <f t="shared" si="284"/>
        <v>6.8888266349633794E-3</v>
      </c>
      <c r="FV163" s="775">
        <f t="shared" si="285"/>
        <v>1.7286373926719591</v>
      </c>
      <c r="FW163" s="775">
        <f t="shared" si="286"/>
        <v>0.90038883119392099</v>
      </c>
      <c r="FX163" s="775">
        <f t="shared" si="287"/>
        <v>49.625597416871265</v>
      </c>
      <c r="FY163" s="775">
        <f t="shared" si="288"/>
        <v>84.706928292505779</v>
      </c>
      <c r="FZ163" s="775">
        <f t="shared" si="289"/>
        <v>30.393059885485954</v>
      </c>
      <c r="GA163" s="775">
        <f t="shared" si="290"/>
        <v>46.480537838865992</v>
      </c>
      <c r="GB163" s="775">
        <f t="shared" si="291"/>
        <v>82.104149032109547</v>
      </c>
      <c r="GC163" s="775">
        <f t="shared" si="292"/>
        <v>3.3433830266084144</v>
      </c>
      <c r="GD163" s="775">
        <f t="shared" si="293"/>
        <v>7.0717498061264763</v>
      </c>
      <c r="GE163" s="775">
        <f t="shared" si="294"/>
        <v>3.2144317300574889</v>
      </c>
      <c r="GF163" s="775">
        <f t="shared" si="295"/>
        <v>41.839417812593936</v>
      </c>
      <c r="GG163" s="775">
        <f t="shared" si="296"/>
        <v>40.226705751958612</v>
      </c>
    </row>
    <row r="164" spans="70:189">
      <c r="BR164" s="775"/>
      <c r="BS164" s="775"/>
      <c r="BT164" s="775"/>
      <c r="BU164" s="775"/>
      <c r="BV164" s="775"/>
      <c r="BW164" s="775"/>
      <c r="BX164" s="775"/>
      <c r="BY164" s="775" t="b">
        <f t="shared" si="297"/>
        <v>0</v>
      </c>
      <c r="BZ164" s="775">
        <f t="shared" si="229"/>
        <v>8.2288633033521155</v>
      </c>
      <c r="CA164" s="775">
        <v>24</v>
      </c>
      <c r="CB164" s="775">
        <f t="shared" si="310"/>
        <v>12</v>
      </c>
      <c r="CC164" s="673">
        <f t="shared" si="230"/>
        <v>3.771136696647885</v>
      </c>
      <c r="CD164" s="91">
        <f t="shared" si="228"/>
        <v>2</v>
      </c>
      <c r="CE164" s="775" t="b">
        <f t="shared" si="231"/>
        <v>0</v>
      </c>
      <c r="CF164" s="673"/>
      <c r="CG164" s="775">
        <f t="shared" si="232"/>
        <v>3.771136696647885</v>
      </c>
      <c r="CH164" s="775">
        <f t="shared" si="233"/>
        <v>0.1052760729295978</v>
      </c>
      <c r="CI164" s="775">
        <f t="shared" si="234"/>
        <v>7.041279684594547E-3</v>
      </c>
      <c r="CJ164" s="775">
        <f t="shared" si="235"/>
        <v>4.7298671401592749</v>
      </c>
      <c r="CK164" s="775">
        <f t="shared" si="236"/>
        <v>2.4674746324000849</v>
      </c>
      <c r="CL164" s="775">
        <f t="shared" si="237"/>
        <v>3.5111353927357176</v>
      </c>
      <c r="CM164" s="775">
        <f t="shared" si="238"/>
        <v>6.9042593520197064</v>
      </c>
      <c r="CN164" s="775">
        <f t="shared" si="239"/>
        <v>2.1524137155738052</v>
      </c>
      <c r="CO164" s="775">
        <f t="shared" si="240"/>
        <v>3.0750817641218728</v>
      </c>
      <c r="CP164" s="775">
        <f t="shared" si="241"/>
        <v>131.59509116199726</v>
      </c>
      <c r="CQ164" s="775">
        <f t="shared" si="242"/>
        <v>21.33242319689267</v>
      </c>
      <c r="CR164" s="775">
        <f t="shared" si="298"/>
        <v>10.783076993754815</v>
      </c>
      <c r="CS164" s="775">
        <f t="shared" si="243"/>
        <v>4.9013986335249156</v>
      </c>
      <c r="CT164" s="775">
        <f t="shared" si="244"/>
        <v>3.771136696647885</v>
      </c>
      <c r="CU164" s="775">
        <f t="shared" si="245"/>
        <v>3.1718440597864785</v>
      </c>
      <c r="CV164" s="775"/>
      <c r="CW164" s="775"/>
      <c r="CX164" s="775"/>
      <c r="CY164" s="775"/>
      <c r="CZ164" s="775"/>
      <c r="DA164" s="775"/>
      <c r="DB164" s="775"/>
      <c r="DC164" s="775"/>
      <c r="DD164" s="775" t="b">
        <f t="shared" si="299"/>
        <v>0</v>
      </c>
      <c r="DE164" s="775">
        <f t="shared" si="300"/>
        <v>2.2796297248485402</v>
      </c>
      <c r="DF164" s="776">
        <v>25</v>
      </c>
      <c r="DG164" s="775">
        <f t="shared" si="301"/>
        <v>38</v>
      </c>
      <c r="DH164" s="673">
        <f t="shared" si="302"/>
        <v>35.72037027515146</v>
      </c>
      <c r="DI164" s="673">
        <f t="shared" si="246"/>
        <v>19</v>
      </c>
      <c r="DJ164" s="775" t="b">
        <f t="shared" si="247"/>
        <v>0</v>
      </c>
      <c r="DK164" s="673"/>
      <c r="DL164" s="775">
        <f t="shared" si="303"/>
        <v>35.72037027515146</v>
      </c>
      <c r="DM164" s="775">
        <f t="shared" si="304"/>
        <v>5.9137546059064329E-2</v>
      </c>
      <c r="DN164" s="775">
        <f t="shared" si="305"/>
        <v>6.9664345022474022E-3</v>
      </c>
      <c r="DO164" s="775">
        <f t="shared" si="248"/>
        <v>1.7257944190168701</v>
      </c>
      <c r="DP164" s="775">
        <f t="shared" si="249"/>
        <v>0.89962347162524392</v>
      </c>
      <c r="DQ164" s="775">
        <f t="shared" si="250"/>
        <v>38.529003446879862</v>
      </c>
      <c r="DR164" s="775">
        <f t="shared" si="251"/>
        <v>65.765929319512964</v>
      </c>
      <c r="DS164" s="775">
        <f t="shared" si="252"/>
        <v>30.322802032754012</v>
      </c>
      <c r="DT164" s="775">
        <f t="shared" si="253"/>
        <v>46.38144733881478</v>
      </c>
      <c r="DU164" s="775">
        <f t="shared" si="254"/>
        <v>83.029114666926318</v>
      </c>
      <c r="DV164" s="775">
        <f t="shared" si="255"/>
        <v>3.3810487772446343</v>
      </c>
      <c r="DW164" s="775">
        <f t="shared" si="256"/>
        <v>19.195926710692483</v>
      </c>
      <c r="DX164" s="775">
        <f t="shared" si="257"/>
        <v>8.7254212321329465</v>
      </c>
      <c r="DY164" s="775">
        <f t="shared" si="258"/>
        <v>35.72037027515146</v>
      </c>
      <c r="DZ164" s="775">
        <f t="shared" si="259"/>
        <v>40.174439903479104</v>
      </c>
      <c r="EA164" s="775"/>
      <c r="EB164" s="775"/>
      <c r="EC164" s="775"/>
      <c r="ED164" s="775"/>
      <c r="EE164" s="775"/>
      <c r="EF164" s="775" t="b">
        <f t="shared" si="306"/>
        <v>0</v>
      </c>
      <c r="EG164" s="775">
        <f t="shared" si="260"/>
        <v>8.2288633033521155</v>
      </c>
      <c r="EH164" s="775">
        <v>24</v>
      </c>
      <c r="EI164" s="775">
        <f t="shared" si="311"/>
        <v>12</v>
      </c>
      <c r="EJ164" s="673">
        <f t="shared" si="261"/>
        <v>3.771136696647885</v>
      </c>
      <c r="EK164" s="673">
        <f t="shared" si="262"/>
        <v>2.2510196371999172</v>
      </c>
      <c r="EL164" s="775" t="b">
        <f t="shared" si="263"/>
        <v>0</v>
      </c>
      <c r="EM164" s="673"/>
      <c r="EN164" s="775">
        <f t="shared" si="264"/>
        <v>3.771136696647885</v>
      </c>
      <c r="EO164" s="775">
        <f t="shared" si="265"/>
        <v>0.1052760729295978</v>
      </c>
      <c r="EP164" s="775">
        <f t="shared" si="266"/>
        <v>7.041279684594547E-3</v>
      </c>
      <c r="EQ164" s="775">
        <f t="shared" si="267"/>
        <v>4.7298671401592749</v>
      </c>
      <c r="ER164" s="775">
        <f t="shared" si="268"/>
        <v>2.4674746324000849</v>
      </c>
      <c r="ES164" s="775">
        <f t="shared" si="269"/>
        <v>3.5111353927357176</v>
      </c>
      <c r="ET164" s="775">
        <f t="shared" si="270"/>
        <v>6.9042593520197064</v>
      </c>
      <c r="EU164" s="775">
        <f t="shared" si="271"/>
        <v>2.1524137155738052</v>
      </c>
      <c r="EV164" s="775">
        <f t="shared" si="272"/>
        <v>3.0750817641218728</v>
      </c>
      <c r="EW164" s="775">
        <f t="shared" si="273"/>
        <v>131.59509116199726</v>
      </c>
      <c r="EX164" s="775">
        <f t="shared" si="274"/>
        <v>21.33242319689267</v>
      </c>
      <c r="EY164" s="775">
        <f t="shared" si="307"/>
        <v>10.783076993754815</v>
      </c>
      <c r="EZ164" s="775">
        <f t="shared" si="275"/>
        <v>4.9013986335249156</v>
      </c>
      <c r="FA164" s="775">
        <f t="shared" si="276"/>
        <v>3.771136696647885</v>
      </c>
      <c r="FB164" s="775">
        <f t="shared" si="277"/>
        <v>3.1718440597864785</v>
      </c>
      <c r="FC164" s="775"/>
      <c r="FD164" s="775"/>
      <c r="FE164" s="775"/>
      <c r="FF164" s="775"/>
      <c r="FG164" s="775"/>
      <c r="FH164" s="775"/>
      <c r="FI164" s="775"/>
      <c r="FJ164" s="775"/>
      <c r="FK164" s="775" t="b">
        <f t="shared" si="308"/>
        <v>0</v>
      </c>
      <c r="FL164" s="775">
        <f t="shared" si="278"/>
        <v>2.1744399034791044</v>
      </c>
      <c r="FM164" s="775">
        <v>24</v>
      </c>
      <c r="FN164" s="775">
        <f t="shared" si="309"/>
        <v>38</v>
      </c>
      <c r="FO164" s="673">
        <f t="shared" si="279"/>
        <v>40.174439903479104</v>
      </c>
      <c r="FP164" s="673">
        <f t="shared" si="280"/>
        <v>24.403675819467587</v>
      </c>
      <c r="FQ164" s="775" t="b">
        <f t="shared" si="281"/>
        <v>0</v>
      </c>
      <c r="FR164" s="673"/>
      <c r="FS164" s="775">
        <f t="shared" si="282"/>
        <v>40.174439903479104</v>
      </c>
      <c r="FT164" s="775">
        <f t="shared" si="283"/>
        <v>5.9137546059064329E-2</v>
      </c>
      <c r="FU164" s="775">
        <f t="shared" si="284"/>
        <v>6.9664345022474022E-3</v>
      </c>
      <c r="FV164" s="775">
        <f t="shared" si="285"/>
        <v>1.7257944190168701</v>
      </c>
      <c r="FW164" s="775">
        <f t="shared" si="286"/>
        <v>0.89962347162524392</v>
      </c>
      <c r="FX164" s="775">
        <f t="shared" si="287"/>
        <v>49.486805777095014</v>
      </c>
      <c r="FY164" s="775">
        <f t="shared" si="288"/>
        <v>84.470022056811203</v>
      </c>
      <c r="FZ164" s="775">
        <f t="shared" si="289"/>
        <v>30.322802032754012</v>
      </c>
      <c r="GA164" s="775">
        <f t="shared" si="290"/>
        <v>46.38144733881478</v>
      </c>
      <c r="GB164" s="775">
        <f t="shared" si="291"/>
        <v>83.029114666926318</v>
      </c>
      <c r="GC164" s="775">
        <f t="shared" si="292"/>
        <v>3.3810487772446343</v>
      </c>
      <c r="GD164" s="775">
        <f t="shared" si="293"/>
        <v>6.9929686993432822</v>
      </c>
      <c r="GE164" s="775">
        <f t="shared" si="294"/>
        <v>3.1786221360651279</v>
      </c>
      <c r="GF164" s="775">
        <f t="shared" si="295"/>
        <v>41.770086372957039</v>
      </c>
      <c r="GG164" s="775">
        <f t="shared" si="296"/>
        <v>40.174439903479104</v>
      </c>
    </row>
    <row r="165" spans="70:189">
      <c r="BR165" s="775"/>
      <c r="BS165" s="775"/>
      <c r="BT165" s="775"/>
      <c r="BU165" s="775"/>
      <c r="BV165" s="775"/>
      <c r="BW165" s="775"/>
      <c r="BX165" s="775"/>
      <c r="BY165" s="775" t="b">
        <f t="shared" si="297"/>
        <v>0</v>
      </c>
      <c r="BZ165" s="775">
        <f t="shared" si="229"/>
        <v>8.6806833140418416</v>
      </c>
      <c r="CA165" s="775">
        <v>25</v>
      </c>
      <c r="CB165" s="775">
        <f t="shared" si="310"/>
        <v>12.5</v>
      </c>
      <c r="CC165" s="673">
        <f t="shared" si="230"/>
        <v>3.8193166859581589</v>
      </c>
      <c r="CD165" s="91">
        <f t="shared" si="228"/>
        <v>2</v>
      </c>
      <c r="CE165" s="775" t="b">
        <f t="shared" si="231"/>
        <v>0</v>
      </c>
      <c r="CF165" s="673"/>
      <c r="CG165" s="775">
        <f t="shared" si="232"/>
        <v>3.8193166859581589</v>
      </c>
      <c r="CH165" s="775">
        <f t="shared" si="233"/>
        <v>0.10114757722727523</v>
      </c>
      <c r="CI165" s="775">
        <f t="shared" si="234"/>
        <v>6.7651495810700738E-3</v>
      </c>
      <c r="CJ165" s="775">
        <f t="shared" si="235"/>
        <v>4.7576719264347105</v>
      </c>
      <c r="CK165" s="775">
        <f t="shared" si="236"/>
        <v>2.4749558446962547</v>
      </c>
      <c r="CL165" s="775">
        <f t="shared" si="237"/>
        <v>3.5464278148578785</v>
      </c>
      <c r="CM165" s="775">
        <f t="shared" si="238"/>
        <v>6.9736579961154286</v>
      </c>
      <c r="CN165" s="775">
        <f t="shared" si="239"/>
        <v>2.1640062286902948</v>
      </c>
      <c r="CO165" s="775">
        <f t="shared" si="240"/>
        <v>3.0911024796896727</v>
      </c>
      <c r="CP165" s="775">
        <f t="shared" si="241"/>
        <v>126.43447153409403</v>
      </c>
      <c r="CQ165" s="775">
        <f t="shared" si="242"/>
        <v>20.49585307190905</v>
      </c>
      <c r="CR165" s="775">
        <f t="shared" si="298"/>
        <v>11.223205054622747</v>
      </c>
      <c r="CS165" s="775">
        <f t="shared" si="243"/>
        <v>5.1014568430103395</v>
      </c>
      <c r="CT165" s="775">
        <f t="shared" si="244"/>
        <v>3.8193166859581589</v>
      </c>
      <c r="CU165" s="775">
        <f t="shared" si="245"/>
        <v>3.1939942720567607</v>
      </c>
      <c r="CV165" s="775"/>
      <c r="CW165" s="775"/>
      <c r="CX165" s="775"/>
      <c r="CY165" s="775"/>
      <c r="CZ165" s="775"/>
      <c r="DA165" s="775"/>
      <c r="DB165" s="775"/>
      <c r="DC165" s="775"/>
      <c r="DD165" s="775" t="b">
        <f t="shared" si="299"/>
        <v>0</v>
      </c>
      <c r="DE165" s="775">
        <f t="shared" si="300"/>
        <v>1.8462398872006887</v>
      </c>
      <c r="DF165" s="776">
        <v>26</v>
      </c>
      <c r="DG165" s="775">
        <f t="shared" si="301"/>
        <v>37.5</v>
      </c>
      <c r="DH165" s="673">
        <f t="shared" si="302"/>
        <v>35.653760112799311</v>
      </c>
      <c r="DI165" s="673">
        <f t="shared" si="246"/>
        <v>19</v>
      </c>
      <c r="DJ165" s="775" t="b">
        <f t="shared" si="247"/>
        <v>0</v>
      </c>
      <c r="DK165" s="673"/>
      <c r="DL165" s="775">
        <f t="shared" si="303"/>
        <v>35.653760112799311</v>
      </c>
      <c r="DM165" s="775">
        <f t="shared" si="304"/>
        <v>5.9812650124512576E-2</v>
      </c>
      <c r="DN165" s="775">
        <f t="shared" si="305"/>
        <v>7.0459621216289858E-3</v>
      </c>
      <c r="DO165" s="775">
        <f t="shared" si="248"/>
        <v>1.7228936976219367</v>
      </c>
      <c r="DP165" s="775">
        <f t="shared" si="249"/>
        <v>0.89884120093978026</v>
      </c>
      <c r="DQ165" s="775">
        <f t="shared" si="250"/>
        <v>38.419821224063995</v>
      </c>
      <c r="DR165" s="775">
        <f t="shared" si="251"/>
        <v>65.579563991934336</v>
      </c>
      <c r="DS165" s="775">
        <f t="shared" si="252"/>
        <v>30.251751814989799</v>
      </c>
      <c r="DT165" s="775">
        <f t="shared" si="253"/>
        <v>46.281213631715282</v>
      </c>
      <c r="DU165" s="775">
        <f t="shared" si="254"/>
        <v>83.976960774815652</v>
      </c>
      <c r="DV165" s="775">
        <f t="shared" si="255"/>
        <v>3.4196462491910848</v>
      </c>
      <c r="DW165" s="775">
        <f t="shared" si="256"/>
        <v>18.979262708421096</v>
      </c>
      <c r="DX165" s="775">
        <f t="shared" si="257"/>
        <v>8.6269375947368605</v>
      </c>
      <c r="DY165" s="775">
        <f t="shared" si="258"/>
        <v>35.653760112799311</v>
      </c>
      <c r="DZ165" s="775">
        <f t="shared" si="259"/>
        <v>40.121477991103319</v>
      </c>
      <c r="EA165" s="775"/>
      <c r="EB165" s="775"/>
      <c r="EC165" s="775"/>
      <c r="ED165" s="775"/>
      <c r="EE165" s="775"/>
      <c r="EF165" s="775" t="b">
        <f t="shared" si="306"/>
        <v>0</v>
      </c>
      <c r="EG165" s="775">
        <f t="shared" si="260"/>
        <v>8.6806833140418416</v>
      </c>
      <c r="EH165" s="775">
        <v>25</v>
      </c>
      <c r="EI165" s="775">
        <f t="shared" si="311"/>
        <v>12.5</v>
      </c>
      <c r="EJ165" s="673">
        <f t="shared" si="261"/>
        <v>3.8193166859581589</v>
      </c>
      <c r="EK165" s="673">
        <f t="shared" si="262"/>
        <v>2.2510196371999172</v>
      </c>
      <c r="EL165" s="775" t="b">
        <f t="shared" si="263"/>
        <v>0</v>
      </c>
      <c r="EM165" s="673"/>
      <c r="EN165" s="775">
        <f t="shared" si="264"/>
        <v>3.8193166859581589</v>
      </c>
      <c r="EO165" s="775">
        <f t="shared" si="265"/>
        <v>0.10114757722727523</v>
      </c>
      <c r="EP165" s="775">
        <f t="shared" si="266"/>
        <v>6.7651495810700738E-3</v>
      </c>
      <c r="EQ165" s="775">
        <f t="shared" si="267"/>
        <v>4.7576719264347105</v>
      </c>
      <c r="ER165" s="775">
        <f t="shared" si="268"/>
        <v>2.4749558446962547</v>
      </c>
      <c r="ES165" s="775">
        <f t="shared" si="269"/>
        <v>3.5464278148578785</v>
      </c>
      <c r="ET165" s="775">
        <f t="shared" si="270"/>
        <v>6.9736579961154286</v>
      </c>
      <c r="EU165" s="775">
        <f t="shared" si="271"/>
        <v>2.1640062286902948</v>
      </c>
      <c r="EV165" s="775">
        <f t="shared" si="272"/>
        <v>3.0911024796896727</v>
      </c>
      <c r="EW165" s="775">
        <f t="shared" si="273"/>
        <v>126.43447153409403</v>
      </c>
      <c r="EX165" s="775">
        <f t="shared" si="274"/>
        <v>20.49585307190905</v>
      </c>
      <c r="EY165" s="775">
        <f t="shared" si="307"/>
        <v>11.223205054622747</v>
      </c>
      <c r="EZ165" s="775">
        <f t="shared" si="275"/>
        <v>5.1014568430103395</v>
      </c>
      <c r="FA165" s="775">
        <f t="shared" si="276"/>
        <v>3.8193166859581589</v>
      </c>
      <c r="FB165" s="775">
        <f t="shared" si="277"/>
        <v>3.1939942720567607</v>
      </c>
      <c r="FC165" s="775"/>
      <c r="FD165" s="775"/>
      <c r="FE165" s="775"/>
      <c r="FF165" s="775"/>
      <c r="FG165" s="775"/>
      <c r="FH165" s="775"/>
      <c r="FI165" s="775"/>
      <c r="FJ165" s="775"/>
      <c r="FK165" s="775" t="b">
        <f t="shared" si="308"/>
        <v>0</v>
      </c>
      <c r="FL165" s="775">
        <f t="shared" si="278"/>
        <v>2.621477991103319</v>
      </c>
      <c r="FM165" s="775">
        <v>25</v>
      </c>
      <c r="FN165" s="775">
        <f t="shared" si="309"/>
        <v>37.5</v>
      </c>
      <c r="FO165" s="673">
        <f t="shared" si="279"/>
        <v>40.121477991103319</v>
      </c>
      <c r="FP165" s="673">
        <f t="shared" si="280"/>
        <v>24.403675819467587</v>
      </c>
      <c r="FQ165" s="775" t="b">
        <f t="shared" si="281"/>
        <v>0</v>
      </c>
      <c r="FR165" s="673"/>
      <c r="FS165" s="775">
        <f t="shared" si="282"/>
        <v>40.121477991103319</v>
      </c>
      <c r="FT165" s="775">
        <f t="shared" si="283"/>
        <v>5.9812650124512576E-2</v>
      </c>
      <c r="FU165" s="775">
        <f t="shared" si="284"/>
        <v>7.0459621216289858E-3</v>
      </c>
      <c r="FV165" s="775">
        <f t="shared" si="285"/>
        <v>1.7228936976219367</v>
      </c>
      <c r="FW165" s="775">
        <f t="shared" si="286"/>
        <v>0.89884120093978026</v>
      </c>
      <c r="FX165" s="775">
        <f t="shared" si="287"/>
        <v>49.346571694418842</v>
      </c>
      <c r="FY165" s="775">
        <f t="shared" si="288"/>
        <v>84.230653686378702</v>
      </c>
      <c r="FZ165" s="775">
        <f t="shared" si="289"/>
        <v>30.251751814989799</v>
      </c>
      <c r="GA165" s="775">
        <f t="shared" si="290"/>
        <v>46.281213631715282</v>
      </c>
      <c r="GB165" s="775">
        <f t="shared" si="291"/>
        <v>83.976960774815652</v>
      </c>
      <c r="GC165" s="775">
        <f t="shared" si="292"/>
        <v>3.4196462491910848</v>
      </c>
      <c r="GD165" s="775">
        <f t="shared" si="293"/>
        <v>6.9140392155526254</v>
      </c>
      <c r="GE165" s="775">
        <f t="shared" si="294"/>
        <v>3.1427450979784659</v>
      </c>
      <c r="GF165" s="775">
        <f t="shared" si="295"/>
        <v>41.699866296993754</v>
      </c>
      <c r="GG165" s="775">
        <f t="shared" si="296"/>
        <v>40.121477991103319</v>
      </c>
    </row>
    <row r="166" spans="70:189">
      <c r="BR166" s="775"/>
      <c r="BS166" s="775"/>
      <c r="BT166" s="775"/>
      <c r="BU166" s="775"/>
      <c r="BV166" s="775"/>
      <c r="BW166" s="775"/>
      <c r="BX166" s="775"/>
      <c r="BY166" s="775" t="b">
        <f t="shared" si="297"/>
        <v>0</v>
      </c>
      <c r="BZ166" s="775">
        <f t="shared" si="229"/>
        <v>9.1339832188574128</v>
      </c>
      <c r="CA166" s="775">
        <v>26</v>
      </c>
      <c r="CB166" s="775">
        <f t="shared" si="310"/>
        <v>13</v>
      </c>
      <c r="CC166" s="673">
        <f t="shared" si="230"/>
        <v>3.8660167811425863</v>
      </c>
      <c r="CD166" s="91">
        <f t="shared" si="228"/>
        <v>2</v>
      </c>
      <c r="CE166" s="775" t="b">
        <f t="shared" si="231"/>
        <v>0</v>
      </c>
      <c r="CF166" s="673"/>
      <c r="CG166" s="775">
        <f t="shared" si="232"/>
        <v>3.8660167811425863</v>
      </c>
      <c r="CH166" s="775">
        <f t="shared" si="233"/>
        <v>9.7333605726930034E-2</v>
      </c>
      <c r="CI166" s="775">
        <f t="shared" si="234"/>
        <v>6.5100560988030978E-3</v>
      </c>
      <c r="CJ166" s="775">
        <f t="shared" si="235"/>
        <v>4.7837394299531404</v>
      </c>
      <c r="CK166" s="775">
        <f t="shared" si="236"/>
        <v>2.4819279246200976</v>
      </c>
      <c r="CL166" s="775">
        <f t="shared" si="237"/>
        <v>3.5806699589127566</v>
      </c>
      <c r="CM166" s="775">
        <f t="shared" si="238"/>
        <v>7.0409913845724015</v>
      </c>
      <c r="CN166" s="775">
        <f t="shared" si="239"/>
        <v>2.1751958163736362</v>
      </c>
      <c r="CO166" s="775">
        <f t="shared" si="240"/>
        <v>3.1065679041944865</v>
      </c>
      <c r="CP166" s="775">
        <f t="shared" si="241"/>
        <v>121.66700715866254</v>
      </c>
      <c r="CQ166" s="775">
        <f t="shared" si="242"/>
        <v>19.723015979470574</v>
      </c>
      <c r="CR166" s="775">
        <f t="shared" si="298"/>
        <v>11.662981059027134</v>
      </c>
      <c r="CS166" s="775">
        <f t="shared" si="243"/>
        <v>5.3013550268305147</v>
      </c>
      <c r="CT166" s="775">
        <f t="shared" si="244"/>
        <v>3.8660167811425863</v>
      </c>
      <c r="CU166" s="775">
        <f t="shared" si="245"/>
        <v>3.2153671287539307</v>
      </c>
      <c r="CV166" s="775"/>
      <c r="CW166" s="775"/>
      <c r="CX166" s="775"/>
      <c r="CY166" s="775"/>
      <c r="CZ166" s="775"/>
      <c r="DA166" s="775"/>
      <c r="DB166" s="775"/>
      <c r="DC166" s="775"/>
      <c r="DD166" s="775" t="b">
        <f t="shared" si="299"/>
        <v>0</v>
      </c>
      <c r="DE166" s="775">
        <f t="shared" si="300"/>
        <v>1.413691985513907</v>
      </c>
      <c r="DF166" s="776">
        <v>27</v>
      </c>
      <c r="DG166" s="775">
        <f t="shared" si="301"/>
        <v>37</v>
      </c>
      <c r="DH166" s="673">
        <f t="shared" si="302"/>
        <v>35.586308014486093</v>
      </c>
      <c r="DI166" s="673">
        <f t="shared" si="246"/>
        <v>19</v>
      </c>
      <c r="DJ166" s="775" t="b">
        <f t="shared" si="247"/>
        <v>0</v>
      </c>
      <c r="DK166" s="673"/>
      <c r="DL166" s="775">
        <f t="shared" si="303"/>
        <v>35.586308014486093</v>
      </c>
      <c r="DM166" s="775">
        <f t="shared" si="304"/>
        <v>6.0504679403209007E-2</v>
      </c>
      <c r="DN166" s="775">
        <f t="shared" si="305"/>
        <v>7.1274835401684226E-3</v>
      </c>
      <c r="DO166" s="775">
        <f t="shared" si="248"/>
        <v>1.719933374663601</v>
      </c>
      <c r="DP166" s="775">
        <f t="shared" si="249"/>
        <v>0.89804143262525005</v>
      </c>
      <c r="DQ166" s="775">
        <f t="shared" si="250"/>
        <v>38.30948907485427</v>
      </c>
      <c r="DR166" s="775">
        <f t="shared" si="251"/>
        <v>65.391235831913249</v>
      </c>
      <c r="DS166" s="775">
        <f t="shared" si="252"/>
        <v>30.179889651584688</v>
      </c>
      <c r="DT166" s="775">
        <f t="shared" si="253"/>
        <v>46.179808149840831</v>
      </c>
      <c r="DU166" s="775">
        <f t="shared" si="254"/>
        <v>84.948569882105446</v>
      </c>
      <c r="DV166" s="775">
        <f t="shared" si="255"/>
        <v>3.4592113800170612</v>
      </c>
      <c r="DW166" s="775">
        <f t="shared" si="256"/>
        <v>18.762185192899178</v>
      </c>
      <c r="DX166" s="775">
        <f t="shared" si="257"/>
        <v>8.5282659967723529</v>
      </c>
      <c r="DY166" s="775">
        <f t="shared" si="258"/>
        <v>35.586308014486093</v>
      </c>
      <c r="DZ166" s="775">
        <f t="shared" si="259"/>
        <v>40.06780142367073</v>
      </c>
      <c r="EA166" s="775"/>
      <c r="EB166" s="775"/>
      <c r="EC166" s="775"/>
      <c r="ED166" s="775"/>
      <c r="EE166" s="775"/>
      <c r="EF166" s="775" t="b">
        <f t="shared" si="306"/>
        <v>0</v>
      </c>
      <c r="EG166" s="775">
        <f t="shared" si="260"/>
        <v>9.1339832188574128</v>
      </c>
      <c r="EH166" s="775">
        <v>26</v>
      </c>
      <c r="EI166" s="775">
        <f t="shared" si="311"/>
        <v>13</v>
      </c>
      <c r="EJ166" s="673">
        <f t="shared" si="261"/>
        <v>3.8660167811425863</v>
      </c>
      <c r="EK166" s="673">
        <f t="shared" si="262"/>
        <v>2.2510196371999172</v>
      </c>
      <c r="EL166" s="775" t="b">
        <f t="shared" si="263"/>
        <v>0</v>
      </c>
      <c r="EM166" s="673"/>
      <c r="EN166" s="775">
        <f t="shared" si="264"/>
        <v>3.8660167811425863</v>
      </c>
      <c r="EO166" s="775">
        <f t="shared" si="265"/>
        <v>9.7333605726930034E-2</v>
      </c>
      <c r="EP166" s="775">
        <f t="shared" si="266"/>
        <v>6.5100560988030978E-3</v>
      </c>
      <c r="EQ166" s="775">
        <f t="shared" si="267"/>
        <v>4.7837394299531404</v>
      </c>
      <c r="ER166" s="775">
        <f t="shared" si="268"/>
        <v>2.4819279246200976</v>
      </c>
      <c r="ES166" s="775">
        <f t="shared" si="269"/>
        <v>3.5806699589127566</v>
      </c>
      <c r="ET166" s="775">
        <f t="shared" si="270"/>
        <v>7.0409913845724015</v>
      </c>
      <c r="EU166" s="775">
        <f t="shared" si="271"/>
        <v>2.1751958163736362</v>
      </c>
      <c r="EV166" s="775">
        <f t="shared" si="272"/>
        <v>3.1065679041944865</v>
      </c>
      <c r="EW166" s="775">
        <f t="shared" si="273"/>
        <v>121.66700715866254</v>
      </c>
      <c r="EX166" s="775">
        <f t="shared" si="274"/>
        <v>19.723015979470574</v>
      </c>
      <c r="EY166" s="775">
        <f t="shared" si="307"/>
        <v>11.662981059027134</v>
      </c>
      <c r="EZ166" s="775">
        <f t="shared" si="275"/>
        <v>5.3013550268305147</v>
      </c>
      <c r="FA166" s="775">
        <f t="shared" si="276"/>
        <v>3.8660167811425863</v>
      </c>
      <c r="FB166" s="775">
        <f t="shared" si="277"/>
        <v>3.2153671287539307</v>
      </c>
      <c r="FC166" s="775"/>
      <c r="FD166" s="775"/>
      <c r="FE166" s="775"/>
      <c r="FF166" s="775"/>
      <c r="FG166" s="775"/>
      <c r="FH166" s="775"/>
      <c r="FI166" s="775"/>
      <c r="FJ166" s="775"/>
      <c r="FK166" s="775" t="b">
        <f t="shared" si="308"/>
        <v>0</v>
      </c>
      <c r="FL166" s="775">
        <f t="shared" si="278"/>
        <v>3.0678014236707298</v>
      </c>
      <c r="FM166" s="775">
        <v>26</v>
      </c>
      <c r="FN166" s="775">
        <f t="shared" si="309"/>
        <v>37</v>
      </c>
      <c r="FO166" s="673">
        <f t="shared" si="279"/>
        <v>40.06780142367073</v>
      </c>
      <c r="FP166" s="673">
        <f t="shared" si="280"/>
        <v>24.403675819467587</v>
      </c>
      <c r="FQ166" s="775" t="b">
        <f t="shared" si="281"/>
        <v>0</v>
      </c>
      <c r="FR166" s="673"/>
      <c r="FS166" s="775">
        <f t="shared" si="282"/>
        <v>40.06780142367073</v>
      </c>
      <c r="FT166" s="775">
        <f t="shared" si="283"/>
        <v>6.0504679403209007E-2</v>
      </c>
      <c r="FU166" s="775">
        <f t="shared" si="284"/>
        <v>7.1274835401684226E-3</v>
      </c>
      <c r="FV166" s="775">
        <f t="shared" si="285"/>
        <v>1.719933374663601</v>
      </c>
      <c r="FW166" s="775">
        <f t="shared" si="286"/>
        <v>0.89804143262525005</v>
      </c>
      <c r="FX166" s="775">
        <f t="shared" si="287"/>
        <v>49.204860641693628</v>
      </c>
      <c r="FY166" s="775">
        <f t="shared" si="288"/>
        <v>83.988764246124418</v>
      </c>
      <c r="FZ166" s="775">
        <f t="shared" si="289"/>
        <v>30.179889651584688</v>
      </c>
      <c r="GA166" s="775">
        <f t="shared" si="290"/>
        <v>46.179808149840831</v>
      </c>
      <c r="GB166" s="775">
        <f t="shared" si="291"/>
        <v>84.948569882105446</v>
      </c>
      <c r="GC166" s="775">
        <f t="shared" si="292"/>
        <v>3.4592113800170612</v>
      </c>
      <c r="GD166" s="775">
        <f t="shared" si="293"/>
        <v>6.8349590911984093</v>
      </c>
      <c r="GE166" s="775">
        <f t="shared" si="294"/>
        <v>3.1067995869083678</v>
      </c>
      <c r="GF166" s="775">
        <f t="shared" si="295"/>
        <v>41.628734397675345</v>
      </c>
      <c r="GG166" s="775">
        <f t="shared" si="296"/>
        <v>40.06780142367073</v>
      </c>
    </row>
    <row r="167" spans="70:189">
      <c r="BR167" s="775"/>
      <c r="BS167" s="775"/>
      <c r="BT167" s="775"/>
      <c r="BU167" s="775"/>
      <c r="BV167" s="775"/>
      <c r="BW167" s="775"/>
      <c r="BX167" s="775"/>
      <c r="BY167" s="775" t="b">
        <f t="shared" si="297"/>
        <v>0</v>
      </c>
      <c r="BZ167" s="775">
        <f t="shared" si="229"/>
        <v>9.5886635705606142</v>
      </c>
      <c r="CA167" s="775">
        <v>27</v>
      </c>
      <c r="CB167" s="775">
        <f t="shared" si="310"/>
        <v>13.5</v>
      </c>
      <c r="CC167" s="673">
        <f t="shared" si="230"/>
        <v>3.9113364294393853</v>
      </c>
      <c r="CD167" s="91">
        <f t="shared" si="228"/>
        <v>2</v>
      </c>
      <c r="CE167" s="775" t="b">
        <f t="shared" si="231"/>
        <v>0</v>
      </c>
      <c r="CF167" s="673"/>
      <c r="CG167" s="775">
        <f t="shared" si="232"/>
        <v>3.9113364294393853</v>
      </c>
      <c r="CH167" s="775">
        <f t="shared" si="233"/>
        <v>9.3799431078952528E-2</v>
      </c>
      <c r="CI167" s="775">
        <f t="shared" si="234"/>
        <v>6.2736765354501336E-3</v>
      </c>
      <c r="CJ167" s="775">
        <f t="shared" si="235"/>
        <v>4.8082288182858477</v>
      </c>
      <c r="CK167" s="775">
        <f t="shared" si="236"/>
        <v>2.488441402195217</v>
      </c>
      <c r="CL167" s="775">
        <f t="shared" si="237"/>
        <v>3.6139317338149963</v>
      </c>
      <c r="CM167" s="775">
        <f t="shared" si="238"/>
        <v>7.1063969855380291</v>
      </c>
      <c r="CN167" s="775">
        <f t="shared" si="239"/>
        <v>2.186011215142269</v>
      </c>
      <c r="CO167" s="775">
        <f t="shared" si="240"/>
        <v>3.121517586378197</v>
      </c>
      <c r="CP167" s="775">
        <f t="shared" si="241"/>
        <v>117.24928884869065</v>
      </c>
      <c r="CQ167" s="775">
        <f t="shared" si="242"/>
        <v>19.006875007031347</v>
      </c>
      <c r="CR167" s="775">
        <f t="shared" si="298"/>
        <v>12.102418820051088</v>
      </c>
      <c r="CS167" s="775">
        <f t="shared" si="243"/>
        <v>5.5010994636595854</v>
      </c>
      <c r="CT167" s="775">
        <f t="shared" si="244"/>
        <v>3.9113364294393853</v>
      </c>
      <c r="CU167" s="775">
        <f t="shared" si="245"/>
        <v>3.2360182729029772</v>
      </c>
      <c r="CV167" s="775"/>
      <c r="CW167" s="775"/>
      <c r="CX167" s="775"/>
      <c r="CY167" s="775"/>
      <c r="CZ167" s="775"/>
      <c r="DA167" s="775"/>
      <c r="DB167" s="775"/>
      <c r="DC167" s="775"/>
      <c r="DD167" s="775" t="b">
        <f t="shared" si="299"/>
        <v>0</v>
      </c>
      <c r="DE167" s="775">
        <f t="shared" si="300"/>
        <v>0.98200799398110661</v>
      </c>
      <c r="DF167" s="776">
        <v>28</v>
      </c>
      <c r="DG167" s="775">
        <f t="shared" si="301"/>
        <v>36.5</v>
      </c>
      <c r="DH167" s="673">
        <f t="shared" si="302"/>
        <v>35.517992006018893</v>
      </c>
      <c r="DI167" s="673">
        <f t="shared" si="246"/>
        <v>19</v>
      </c>
      <c r="DJ167" s="775" t="b">
        <f t="shared" si="247"/>
        <v>0</v>
      </c>
      <c r="DK167" s="673"/>
      <c r="DL167" s="775">
        <f t="shared" si="303"/>
        <v>35.517992006018893</v>
      </c>
      <c r="DM167" s="775">
        <f t="shared" si="304"/>
        <v>6.1214295654424718E-2</v>
      </c>
      <c r="DN167" s="775">
        <f t="shared" si="305"/>
        <v>7.2110767134611941E-3</v>
      </c>
      <c r="DO167" s="775">
        <f t="shared" si="248"/>
        <v>1.7169115140151965</v>
      </c>
      <c r="DP167" s="775">
        <f t="shared" si="249"/>
        <v>0.89722355219496941</v>
      </c>
      <c r="DQ167" s="775">
        <f t="shared" si="250"/>
        <v>38.197979099959248</v>
      </c>
      <c r="DR167" s="775">
        <f t="shared" si="251"/>
        <v>65.200897217589173</v>
      </c>
      <c r="DS167" s="775">
        <f t="shared" si="252"/>
        <v>30.107195206529692</v>
      </c>
      <c r="DT167" s="775">
        <f t="shared" si="253"/>
        <v>46.077201215266832</v>
      </c>
      <c r="DU167" s="775">
        <f t="shared" si="254"/>
        <v>85.9448710988123</v>
      </c>
      <c r="DV167" s="775">
        <f t="shared" si="255"/>
        <v>3.4997820042375776</v>
      </c>
      <c r="DW167" s="775">
        <f t="shared" si="256"/>
        <v>18.544687770461099</v>
      </c>
      <c r="DX167" s="775">
        <f t="shared" si="257"/>
        <v>8.4294035320277718</v>
      </c>
      <c r="DY167" s="775">
        <f t="shared" si="258"/>
        <v>35.517992006018893</v>
      </c>
      <c r="DZ167" s="775">
        <f t="shared" si="259"/>
        <v>40.013390856055786</v>
      </c>
      <c r="EA167" s="775"/>
      <c r="EB167" s="775"/>
      <c r="EC167" s="775"/>
      <c r="ED167" s="775"/>
      <c r="EE167" s="775"/>
      <c r="EF167" s="775" t="b">
        <f t="shared" si="306"/>
        <v>0</v>
      </c>
      <c r="EG167" s="775">
        <f t="shared" si="260"/>
        <v>9.5886635705606142</v>
      </c>
      <c r="EH167" s="775">
        <v>27</v>
      </c>
      <c r="EI167" s="775">
        <f t="shared" si="311"/>
        <v>13.5</v>
      </c>
      <c r="EJ167" s="673">
        <f t="shared" si="261"/>
        <v>3.9113364294393853</v>
      </c>
      <c r="EK167" s="673">
        <f t="shared" si="262"/>
        <v>2.2510196371999172</v>
      </c>
      <c r="EL167" s="775" t="b">
        <f t="shared" si="263"/>
        <v>0</v>
      </c>
      <c r="EM167" s="673"/>
      <c r="EN167" s="775">
        <f t="shared" si="264"/>
        <v>3.9113364294393853</v>
      </c>
      <c r="EO167" s="775">
        <f t="shared" si="265"/>
        <v>9.3799431078952528E-2</v>
      </c>
      <c r="EP167" s="775">
        <f t="shared" si="266"/>
        <v>6.2736765354501336E-3</v>
      </c>
      <c r="EQ167" s="775">
        <f t="shared" si="267"/>
        <v>4.8082288182858477</v>
      </c>
      <c r="ER167" s="775">
        <f t="shared" si="268"/>
        <v>2.488441402195217</v>
      </c>
      <c r="ES167" s="775">
        <f t="shared" si="269"/>
        <v>3.6139317338149963</v>
      </c>
      <c r="ET167" s="775">
        <f t="shared" si="270"/>
        <v>7.1063969855380291</v>
      </c>
      <c r="EU167" s="775">
        <f t="shared" si="271"/>
        <v>2.186011215142269</v>
      </c>
      <c r="EV167" s="775">
        <f t="shared" si="272"/>
        <v>3.121517586378197</v>
      </c>
      <c r="EW167" s="775">
        <f t="shared" si="273"/>
        <v>117.24928884869065</v>
      </c>
      <c r="EX167" s="775">
        <f t="shared" si="274"/>
        <v>19.006875007031347</v>
      </c>
      <c r="EY167" s="775">
        <f t="shared" si="307"/>
        <v>12.102418820051088</v>
      </c>
      <c r="EZ167" s="775">
        <f t="shared" si="275"/>
        <v>5.5010994636595854</v>
      </c>
      <c r="FA167" s="775">
        <f t="shared" si="276"/>
        <v>3.9113364294393853</v>
      </c>
      <c r="FB167" s="775">
        <f t="shared" si="277"/>
        <v>3.2360182729029772</v>
      </c>
      <c r="FC167" s="775"/>
      <c r="FD167" s="775"/>
      <c r="FE167" s="775"/>
      <c r="FF167" s="775"/>
      <c r="FG167" s="775"/>
      <c r="FH167" s="775"/>
      <c r="FI167" s="775"/>
      <c r="FJ167" s="775"/>
      <c r="FK167" s="775" t="b">
        <f t="shared" si="308"/>
        <v>0</v>
      </c>
      <c r="FL167" s="775">
        <f t="shared" si="278"/>
        <v>3.5133908560557856</v>
      </c>
      <c r="FM167" s="775">
        <v>27</v>
      </c>
      <c r="FN167" s="775">
        <f t="shared" si="309"/>
        <v>36.5</v>
      </c>
      <c r="FO167" s="673">
        <f t="shared" si="279"/>
        <v>40.013390856055786</v>
      </c>
      <c r="FP167" s="673">
        <f t="shared" si="280"/>
        <v>24.403675819467587</v>
      </c>
      <c r="FQ167" s="775" t="b">
        <f t="shared" si="281"/>
        <v>0</v>
      </c>
      <c r="FR167" s="673"/>
      <c r="FS167" s="775">
        <f t="shared" si="282"/>
        <v>40.013390856055786</v>
      </c>
      <c r="FT167" s="775">
        <f t="shared" si="283"/>
        <v>6.1214295654424718E-2</v>
      </c>
      <c r="FU167" s="775">
        <f t="shared" si="284"/>
        <v>7.2110767134611941E-3</v>
      </c>
      <c r="FV167" s="775">
        <f t="shared" si="285"/>
        <v>1.7169115140151965</v>
      </c>
      <c r="FW167" s="775">
        <f t="shared" si="286"/>
        <v>0.89722355219496941</v>
      </c>
      <c r="FX167" s="775">
        <f t="shared" si="287"/>
        <v>49.061636784958097</v>
      </c>
      <c r="FY167" s="775">
        <f t="shared" si="288"/>
        <v>83.744292570340662</v>
      </c>
      <c r="FZ167" s="775">
        <f t="shared" si="289"/>
        <v>30.107195206529692</v>
      </c>
      <c r="GA167" s="775">
        <f t="shared" si="290"/>
        <v>46.077201215266832</v>
      </c>
      <c r="GB167" s="775">
        <f t="shared" si="291"/>
        <v>85.9448710988123</v>
      </c>
      <c r="GC167" s="775">
        <f t="shared" si="292"/>
        <v>3.4997820042375776</v>
      </c>
      <c r="GD167" s="775">
        <f t="shared" si="293"/>
        <v>6.7557259971040171</v>
      </c>
      <c r="GE167" s="775">
        <f t="shared" si="294"/>
        <v>3.0707845441381894</v>
      </c>
      <c r="GF167" s="775">
        <f t="shared" si="295"/>
        <v>41.556666563070763</v>
      </c>
      <c r="GG167" s="775">
        <f t="shared" si="296"/>
        <v>40.013390856055786</v>
      </c>
    </row>
    <row r="168" spans="70:189">
      <c r="BR168" s="775"/>
      <c r="BS168" s="775"/>
      <c r="BT168" s="775"/>
      <c r="BU168" s="775"/>
      <c r="BV168" s="775"/>
      <c r="BW168" s="775"/>
      <c r="BX168" s="775"/>
      <c r="BY168" s="775" t="b">
        <f t="shared" si="297"/>
        <v>0</v>
      </c>
      <c r="BZ168" s="775">
        <f t="shared" si="229"/>
        <v>10.044634986773762</v>
      </c>
      <c r="CA168" s="775">
        <v>28</v>
      </c>
      <c r="CB168" s="775">
        <f t="shared" si="310"/>
        <v>14</v>
      </c>
      <c r="CC168" s="673">
        <f t="shared" si="230"/>
        <v>3.9553650132262379</v>
      </c>
      <c r="CD168" s="91">
        <f t="shared" si="228"/>
        <v>2</v>
      </c>
      <c r="CE168" s="775" t="b">
        <f t="shared" si="231"/>
        <v>0</v>
      </c>
      <c r="CF168" s="673"/>
      <c r="CG168" s="775">
        <f t="shared" si="232"/>
        <v>3.9553650132262379</v>
      </c>
      <c r="CH168" s="775">
        <f t="shared" si="233"/>
        <v>9.0515263998429921E-2</v>
      </c>
      <c r="CI168" s="775">
        <f t="shared" si="234"/>
        <v>6.0540184659440416E-3</v>
      </c>
      <c r="CJ168" s="775">
        <f t="shared" si="235"/>
        <v>4.8312802761480542</v>
      </c>
      <c r="CK168" s="775">
        <f t="shared" si="236"/>
        <v>2.494540312525221</v>
      </c>
      <c r="CL168" s="775">
        <f t="shared" si="237"/>
        <v>3.6462760096807698</v>
      </c>
      <c r="CM168" s="775">
        <f t="shared" si="238"/>
        <v>7.1699984261411425</v>
      </c>
      <c r="CN168" s="775">
        <f t="shared" si="239"/>
        <v>2.1964781383419827</v>
      </c>
      <c r="CO168" s="775">
        <f t="shared" si="240"/>
        <v>3.1359869180218745</v>
      </c>
      <c r="CP168" s="775">
        <f t="shared" si="241"/>
        <v>113.1440799980374</v>
      </c>
      <c r="CQ168" s="775">
        <f t="shared" si="242"/>
        <v>18.341393857693046</v>
      </c>
      <c r="CR168" s="775">
        <f t="shared" si="298"/>
        <v>12.541531117002444</v>
      </c>
      <c r="CS168" s="775">
        <f t="shared" si="243"/>
        <v>5.700695962273838</v>
      </c>
      <c r="CT168" s="775">
        <f t="shared" si="244"/>
        <v>3.9553650132262379</v>
      </c>
      <c r="CU168" s="775">
        <f t="shared" si="245"/>
        <v>3.2559974811318853</v>
      </c>
      <c r="CV168" s="775"/>
      <c r="CW168" s="775"/>
      <c r="CX168" s="775"/>
      <c r="CY168" s="775"/>
      <c r="CZ168" s="775"/>
      <c r="DA168" s="775"/>
      <c r="DB168" s="775"/>
      <c r="DC168" s="775"/>
      <c r="DD168" s="775" t="b">
        <f t="shared" si="299"/>
        <v>0</v>
      </c>
      <c r="DE168" s="775">
        <f t="shared" si="300"/>
        <v>0.55121076783798628</v>
      </c>
      <c r="DF168" s="776">
        <v>29</v>
      </c>
      <c r="DG168" s="775">
        <f t="shared" si="301"/>
        <v>36</v>
      </c>
      <c r="DH168" s="673">
        <f t="shared" si="302"/>
        <v>35.448789232162014</v>
      </c>
      <c r="DI168" s="673">
        <f t="shared" si="246"/>
        <v>19</v>
      </c>
      <c r="DJ168" s="775" t="b">
        <f t="shared" si="247"/>
        <v>0</v>
      </c>
      <c r="DK168" s="673"/>
      <c r="DL168" s="775">
        <f t="shared" si="303"/>
        <v>35.448789232162014</v>
      </c>
      <c r="DM168" s="775">
        <f t="shared" si="304"/>
        <v>6.1942196052722713E-2</v>
      </c>
      <c r="DN168" s="775">
        <f t="shared" si="305"/>
        <v>7.2968237690430775E-3</v>
      </c>
      <c r="DO168" s="775">
        <f t="shared" si="248"/>
        <v>1.713826092540256</v>
      </c>
      <c r="DP168" s="775">
        <f t="shared" si="249"/>
        <v>0.89638691547757243</v>
      </c>
      <c r="DQ168" s="775">
        <f t="shared" si="250"/>
        <v>38.085262329586584</v>
      </c>
      <c r="DR168" s="775">
        <f t="shared" si="251"/>
        <v>65.008498699842093</v>
      </c>
      <c r="DS168" s="775">
        <f t="shared" si="252"/>
        <v>30.033647348492096</v>
      </c>
      <c r="DT168" s="775">
        <f t="shared" si="253"/>
        <v>45.97336198087789</v>
      </c>
      <c r="DU168" s="775">
        <f t="shared" si="254"/>
        <v>86.966843258022692</v>
      </c>
      <c r="DV168" s="775">
        <f t="shared" si="255"/>
        <v>3.5413979811528744</v>
      </c>
      <c r="DW168" s="775">
        <f t="shared" si="256"/>
        <v>18.326763859546784</v>
      </c>
      <c r="DX168" s="775">
        <f t="shared" si="257"/>
        <v>8.3303472088849002</v>
      </c>
      <c r="DY168" s="775">
        <f t="shared" si="258"/>
        <v>35.448789232162014</v>
      </c>
      <c r="DZ168" s="775">
        <f t="shared" si="259"/>
        <v>39.958226147836015</v>
      </c>
      <c r="EA168" s="775"/>
      <c r="EB168" s="775"/>
      <c r="EC168" s="775"/>
      <c r="ED168" s="775"/>
      <c r="EE168" s="775"/>
      <c r="EF168" s="775" t="b">
        <f t="shared" si="306"/>
        <v>0</v>
      </c>
      <c r="EG168" s="775">
        <f t="shared" si="260"/>
        <v>10.044634986773762</v>
      </c>
      <c r="EH168" s="775">
        <v>28</v>
      </c>
      <c r="EI168" s="775">
        <f t="shared" si="311"/>
        <v>14</v>
      </c>
      <c r="EJ168" s="673">
        <f t="shared" si="261"/>
        <v>3.9553650132262379</v>
      </c>
      <c r="EK168" s="673">
        <f t="shared" si="262"/>
        <v>2.2510196371999172</v>
      </c>
      <c r="EL168" s="775" t="b">
        <f t="shared" si="263"/>
        <v>0</v>
      </c>
      <c r="EM168" s="673"/>
      <c r="EN168" s="775">
        <f t="shared" si="264"/>
        <v>3.9553650132262379</v>
      </c>
      <c r="EO168" s="775">
        <f t="shared" si="265"/>
        <v>9.0515263998429921E-2</v>
      </c>
      <c r="EP168" s="775">
        <f t="shared" si="266"/>
        <v>6.0540184659440416E-3</v>
      </c>
      <c r="EQ168" s="775">
        <f t="shared" si="267"/>
        <v>4.8312802761480542</v>
      </c>
      <c r="ER168" s="775">
        <f t="shared" si="268"/>
        <v>2.494540312525221</v>
      </c>
      <c r="ES168" s="775">
        <f t="shared" si="269"/>
        <v>3.6462760096807698</v>
      </c>
      <c r="ET168" s="775">
        <f t="shared" si="270"/>
        <v>7.1699984261411425</v>
      </c>
      <c r="EU168" s="775">
        <f t="shared" si="271"/>
        <v>2.1964781383419827</v>
      </c>
      <c r="EV168" s="775">
        <f t="shared" si="272"/>
        <v>3.1359869180218745</v>
      </c>
      <c r="EW168" s="775">
        <f t="shared" si="273"/>
        <v>113.1440799980374</v>
      </c>
      <c r="EX168" s="775">
        <f t="shared" si="274"/>
        <v>18.341393857693046</v>
      </c>
      <c r="EY168" s="775">
        <f t="shared" si="307"/>
        <v>12.541531117002444</v>
      </c>
      <c r="EZ168" s="775">
        <f t="shared" si="275"/>
        <v>5.700695962273838</v>
      </c>
      <c r="FA168" s="775">
        <f t="shared" si="276"/>
        <v>3.9553650132262379</v>
      </c>
      <c r="FB168" s="775">
        <f t="shared" si="277"/>
        <v>3.2559974811318853</v>
      </c>
      <c r="FC168" s="775"/>
      <c r="FD168" s="775"/>
      <c r="FE168" s="775"/>
      <c r="FF168" s="775"/>
      <c r="FG168" s="775"/>
      <c r="FH168" s="775"/>
      <c r="FI168" s="775"/>
      <c r="FJ168" s="775"/>
      <c r="FK168" s="775" t="b">
        <f t="shared" si="308"/>
        <v>0</v>
      </c>
      <c r="FL168" s="775">
        <f t="shared" si="278"/>
        <v>3.9582261478360152</v>
      </c>
      <c r="FM168" s="775">
        <v>28</v>
      </c>
      <c r="FN168" s="775">
        <f t="shared" si="309"/>
        <v>36</v>
      </c>
      <c r="FO168" s="673">
        <f t="shared" si="279"/>
        <v>39.958226147836015</v>
      </c>
      <c r="FP168" s="673">
        <f t="shared" si="280"/>
        <v>24.403675819467587</v>
      </c>
      <c r="FQ168" s="775" t="b">
        <f t="shared" si="281"/>
        <v>0</v>
      </c>
      <c r="FR168" s="673"/>
      <c r="FS168" s="775">
        <f t="shared" si="282"/>
        <v>39.958226147836015</v>
      </c>
      <c r="FT168" s="775">
        <f t="shared" si="283"/>
        <v>6.1942196052722713E-2</v>
      </c>
      <c r="FU168" s="775">
        <f t="shared" si="284"/>
        <v>7.2968237690430775E-3</v>
      </c>
      <c r="FV168" s="775">
        <f t="shared" si="285"/>
        <v>1.713826092540256</v>
      </c>
      <c r="FW168" s="775">
        <f t="shared" si="286"/>
        <v>0.89638691547757243</v>
      </c>
      <c r="FX168" s="775">
        <f t="shared" si="287"/>
        <v>48.916862915295368</v>
      </c>
      <c r="FY168" s="775">
        <f t="shared" si="288"/>
        <v>83.497175146380343</v>
      </c>
      <c r="FZ168" s="775">
        <f t="shared" si="289"/>
        <v>30.033647348492096</v>
      </c>
      <c r="GA168" s="775">
        <f t="shared" si="290"/>
        <v>45.97336198087789</v>
      </c>
      <c r="GB168" s="775">
        <f t="shared" si="291"/>
        <v>86.966843258022692</v>
      </c>
      <c r="GC168" s="775">
        <f t="shared" si="292"/>
        <v>3.5413979811528744</v>
      </c>
      <c r="GD168" s="775">
        <f t="shared" si="293"/>
        <v>6.6763375356439401</v>
      </c>
      <c r="GE168" s="775">
        <f t="shared" si="294"/>
        <v>3.0346988798381545</v>
      </c>
      <c r="GF168" s="775">
        <f t="shared" si="295"/>
        <v>41.483637706290601</v>
      </c>
      <c r="GG168" s="775">
        <f t="shared" si="296"/>
        <v>39.958226147836015</v>
      </c>
    </row>
    <row r="169" spans="70:189">
      <c r="BR169" s="775"/>
      <c r="BS169" s="775"/>
      <c r="BT169" s="775"/>
      <c r="BU169" s="775"/>
      <c r="BV169" s="775"/>
      <c r="BW169" s="775"/>
      <c r="BX169" s="775"/>
      <c r="BY169" s="775" t="b">
        <f t="shared" si="297"/>
        <v>0</v>
      </c>
      <c r="BZ169" s="775">
        <f t="shared" si="229"/>
        <v>10.5018168127168</v>
      </c>
      <c r="CA169" s="775">
        <v>29</v>
      </c>
      <c r="CB169" s="775">
        <f t="shared" si="310"/>
        <v>14.5</v>
      </c>
      <c r="CC169" s="673">
        <f t="shared" si="230"/>
        <v>3.9981831872832005</v>
      </c>
      <c r="CD169" s="91">
        <f t="shared" si="228"/>
        <v>2</v>
      </c>
      <c r="CE169" s="775" t="b">
        <f t="shared" si="231"/>
        <v>0</v>
      </c>
      <c r="CF169" s="673"/>
      <c r="CG169" s="775">
        <f t="shared" si="232"/>
        <v>3.9981831872832005</v>
      </c>
      <c r="CH169" s="775">
        <f t="shared" si="233"/>
        <v>8.7455404976697362E-2</v>
      </c>
      <c r="CI169" s="775">
        <f t="shared" si="234"/>
        <v>5.8493630056111225E-3</v>
      </c>
      <c r="CJ169" s="775">
        <f t="shared" si="235"/>
        <v>4.8530177678065138</v>
      </c>
      <c r="CK169" s="775">
        <f t="shared" si="236"/>
        <v>2.5002632095348067</v>
      </c>
      <c r="CL169" s="775">
        <f t="shared" si="237"/>
        <v>3.6777595498366664</v>
      </c>
      <c r="CM169" s="775">
        <f t="shared" si="238"/>
        <v>7.2319073251843875</v>
      </c>
      <c r="CN169" s="775">
        <f t="shared" si="239"/>
        <v>2.2066196894233276</v>
      </c>
      <c r="CO169" s="775">
        <f t="shared" si="240"/>
        <v>3.1500077018511607</v>
      </c>
      <c r="CP169" s="775">
        <f t="shared" si="241"/>
        <v>109.31925622087171</v>
      </c>
      <c r="CQ169" s="775">
        <f t="shared" si="242"/>
        <v>17.721364958836983</v>
      </c>
      <c r="CR169" s="775">
        <f t="shared" si="298"/>
        <v>12.980329806973918</v>
      </c>
      <c r="CS169" s="775">
        <f t="shared" si="243"/>
        <v>5.9001499122608712</v>
      </c>
      <c r="CT169" s="775">
        <f t="shared" si="244"/>
        <v>3.9981831872832005</v>
      </c>
      <c r="CU169" s="775">
        <f t="shared" si="245"/>
        <v>3.2753494668229228</v>
      </c>
      <c r="CV169" s="775"/>
      <c r="CW169" s="775"/>
      <c r="CX169" s="775"/>
      <c r="CY169" s="775"/>
      <c r="CZ169" s="775"/>
      <c r="DA169" s="775"/>
      <c r="DB169" s="775"/>
      <c r="DC169" s="775"/>
      <c r="DD169" s="775" t="b">
        <f t="shared" si="299"/>
        <v>1</v>
      </c>
      <c r="DE169" s="775">
        <f t="shared" si="300"/>
        <v>0.1213240914105711</v>
      </c>
      <c r="DF169" s="776">
        <v>30</v>
      </c>
      <c r="DG169" s="775">
        <f t="shared" si="301"/>
        <v>35.5</v>
      </c>
      <c r="DH169" s="673">
        <f t="shared" si="302"/>
        <v>35.378675908589429</v>
      </c>
      <c r="DI169" s="673">
        <f t="shared" si="246"/>
        <v>19</v>
      </c>
      <c r="DJ169" s="775" t="b">
        <f t="shared" si="247"/>
        <v>0</v>
      </c>
      <c r="DK169" s="673"/>
      <c r="DL169" s="775">
        <f t="shared" si="303"/>
        <v>35.378675908589429</v>
      </c>
      <c r="DM169" s="775">
        <f t="shared" si="304"/>
        <v>6.2689115608258281E-2</v>
      </c>
      <c r="DN169" s="775">
        <f t="shared" si="305"/>
        <v>7.3848112915028252E-3</v>
      </c>
      <c r="DO169" s="775">
        <f t="shared" si="248"/>
        <v>1.710674995054096</v>
      </c>
      <c r="DP169" s="775">
        <f t="shared" si="249"/>
        <v>0.89553084677843908</v>
      </c>
      <c r="DQ169" s="775">
        <f t="shared" si="250"/>
        <v>37.971308666842205</v>
      </c>
      <c r="DR169" s="775">
        <f t="shared" si="251"/>
        <v>64.813988905679395</v>
      </c>
      <c r="DS169" s="775">
        <f t="shared" si="252"/>
        <v>29.959224108195858</v>
      </c>
      <c r="DT169" s="775">
        <f t="shared" si="253"/>
        <v>45.868258367373969</v>
      </c>
      <c r="DU169" s="775">
        <f t="shared" si="254"/>
        <v>88.015518313994633</v>
      </c>
      <c r="DV169" s="775">
        <f t="shared" si="255"/>
        <v>3.5841013332233409</v>
      </c>
      <c r="DW169" s="775">
        <f t="shared" si="256"/>
        <v>18.10840668249044</v>
      </c>
      <c r="DX169" s="775">
        <f t="shared" si="257"/>
        <v>8.2310939465865633</v>
      </c>
      <c r="DY169" s="775">
        <f t="shared" si="258"/>
        <v>35.378675908589429</v>
      </c>
      <c r="DZ169" s="775">
        <f t="shared" si="259"/>
        <v>39.902286319087658</v>
      </c>
      <c r="EA169" s="775"/>
      <c r="EB169" s="775"/>
      <c r="EC169" s="775"/>
      <c r="ED169" s="775"/>
      <c r="EE169" s="775"/>
      <c r="EF169" s="775" t="b">
        <f t="shared" si="306"/>
        <v>0</v>
      </c>
      <c r="EG169" s="775">
        <f t="shared" si="260"/>
        <v>10.5018168127168</v>
      </c>
      <c r="EH169" s="775">
        <v>29</v>
      </c>
      <c r="EI169" s="775">
        <f t="shared" si="311"/>
        <v>14.5</v>
      </c>
      <c r="EJ169" s="673">
        <f t="shared" si="261"/>
        <v>3.9981831872832005</v>
      </c>
      <c r="EK169" s="673">
        <f t="shared" si="262"/>
        <v>2.2510196371999172</v>
      </c>
      <c r="EL169" s="775" t="b">
        <f t="shared" si="263"/>
        <v>0</v>
      </c>
      <c r="EM169" s="673"/>
      <c r="EN169" s="775">
        <f t="shared" si="264"/>
        <v>3.9981831872832005</v>
      </c>
      <c r="EO169" s="775">
        <f t="shared" si="265"/>
        <v>8.7455404976697362E-2</v>
      </c>
      <c r="EP169" s="775">
        <f t="shared" si="266"/>
        <v>5.8493630056111225E-3</v>
      </c>
      <c r="EQ169" s="775">
        <f t="shared" si="267"/>
        <v>4.8530177678065138</v>
      </c>
      <c r="ER169" s="775">
        <f t="shared" si="268"/>
        <v>2.5002632095348067</v>
      </c>
      <c r="ES169" s="775">
        <f t="shared" si="269"/>
        <v>3.6777595498366664</v>
      </c>
      <c r="ET169" s="775">
        <f t="shared" si="270"/>
        <v>7.2319073251843875</v>
      </c>
      <c r="EU169" s="775">
        <f t="shared" si="271"/>
        <v>2.2066196894233276</v>
      </c>
      <c r="EV169" s="775">
        <f t="shared" si="272"/>
        <v>3.1500077018511607</v>
      </c>
      <c r="EW169" s="775">
        <f t="shared" si="273"/>
        <v>109.31925622087171</v>
      </c>
      <c r="EX169" s="775">
        <f t="shared" si="274"/>
        <v>17.721364958836983</v>
      </c>
      <c r="EY169" s="775">
        <f t="shared" si="307"/>
        <v>12.980329806973918</v>
      </c>
      <c r="EZ169" s="775">
        <f t="shared" si="275"/>
        <v>5.9001499122608712</v>
      </c>
      <c r="FA169" s="775">
        <f t="shared" si="276"/>
        <v>3.9981831872832005</v>
      </c>
      <c r="FB169" s="775">
        <f t="shared" si="277"/>
        <v>3.2753494668229228</v>
      </c>
      <c r="FC169" s="775"/>
      <c r="FD169" s="775"/>
      <c r="FE169" s="775"/>
      <c r="FF169" s="775"/>
      <c r="FG169" s="775"/>
      <c r="FH169" s="775"/>
      <c r="FI169" s="775"/>
      <c r="FJ169" s="775"/>
      <c r="FK169" s="775" t="b">
        <f t="shared" si="308"/>
        <v>0</v>
      </c>
      <c r="FL169" s="775">
        <f t="shared" si="278"/>
        <v>4.4022863190876578</v>
      </c>
      <c r="FM169" s="775">
        <v>29</v>
      </c>
      <c r="FN169" s="775">
        <f t="shared" si="309"/>
        <v>35.5</v>
      </c>
      <c r="FO169" s="673">
        <f t="shared" si="279"/>
        <v>39.902286319087658</v>
      </c>
      <c r="FP169" s="673">
        <f t="shared" si="280"/>
        <v>24.403675819467587</v>
      </c>
      <c r="FQ169" s="775" t="b">
        <f t="shared" si="281"/>
        <v>0</v>
      </c>
      <c r="FR169" s="673"/>
      <c r="FS169" s="775">
        <f t="shared" si="282"/>
        <v>39.902286319087658</v>
      </c>
      <c r="FT169" s="775">
        <f t="shared" si="283"/>
        <v>6.2689115608258281E-2</v>
      </c>
      <c r="FU169" s="775">
        <f t="shared" si="284"/>
        <v>7.3848112915028252E-3</v>
      </c>
      <c r="FV169" s="775">
        <f t="shared" si="285"/>
        <v>1.710674995054096</v>
      </c>
      <c r="FW169" s="775">
        <f t="shared" si="286"/>
        <v>0.89553084677843908</v>
      </c>
      <c r="FX169" s="775">
        <f t="shared" si="287"/>
        <v>48.770500376134585</v>
      </c>
      <c r="FY169" s="775">
        <f t="shared" si="288"/>
        <v>83.247345990566771</v>
      </c>
      <c r="FZ169" s="775">
        <f t="shared" si="289"/>
        <v>29.959224108195858</v>
      </c>
      <c r="GA169" s="775">
        <f t="shared" si="290"/>
        <v>45.868258367373969</v>
      </c>
      <c r="GB169" s="775">
        <f t="shared" si="291"/>
        <v>88.015518313994633</v>
      </c>
      <c r="GC169" s="775">
        <f t="shared" si="292"/>
        <v>3.5841013332233409</v>
      </c>
      <c r="GD169" s="775">
        <f t="shared" si="293"/>
        <v>6.5967912377524494</v>
      </c>
      <c r="GE169" s="775">
        <f t="shared" si="294"/>
        <v>2.9985414717056584</v>
      </c>
      <c r="GF169" s="775">
        <f t="shared" si="295"/>
        <v>41.409621711988038</v>
      </c>
      <c r="GG169" s="775">
        <f t="shared" si="296"/>
        <v>39.902286319087658</v>
      </c>
    </row>
    <row r="170" spans="70:189">
      <c r="BR170" s="775"/>
      <c r="BS170" s="775"/>
      <c r="BT170" s="775"/>
      <c r="BU170" s="775"/>
      <c r="BV170" s="775"/>
      <c r="BW170" s="775"/>
      <c r="BX170" s="775"/>
      <c r="BY170" s="775" t="b">
        <f t="shared" si="297"/>
        <v>0</v>
      </c>
      <c r="BZ170" s="775">
        <f t="shared" si="229"/>
        <v>10.960136001097728</v>
      </c>
      <c r="CA170" s="775">
        <v>30</v>
      </c>
      <c r="CB170" s="775">
        <f t="shared" si="310"/>
        <v>15</v>
      </c>
      <c r="CC170" s="673">
        <f t="shared" si="230"/>
        <v>4.0398639989022715</v>
      </c>
      <c r="CD170" s="91">
        <f t="shared" si="228"/>
        <v>2</v>
      </c>
      <c r="CE170" s="775" t="b">
        <f t="shared" si="231"/>
        <v>0</v>
      </c>
      <c r="CF170" s="673"/>
      <c r="CG170" s="775">
        <f t="shared" si="232"/>
        <v>4.0398639989022715</v>
      </c>
      <c r="CH170" s="775">
        <f t="shared" si="233"/>
        <v>8.4597565143875286E-2</v>
      </c>
      <c r="CI170" s="775">
        <f t="shared" si="234"/>
        <v>5.6582193867744657E-3</v>
      </c>
      <c r="CJ170" s="775">
        <f t="shared" si="235"/>
        <v>4.8735513285242043</v>
      </c>
      <c r="CK170" s="775">
        <f t="shared" si="236"/>
        <v>2.5056439951773526</v>
      </c>
      <c r="CL170" s="775">
        <f t="shared" si="237"/>
        <v>3.7084337918609251</v>
      </c>
      <c r="CM170" s="775">
        <f t="shared" si="238"/>
        <v>7.2922248289754013</v>
      </c>
      <c r="CN170" s="775">
        <f t="shared" si="239"/>
        <v>2.2164567065880454</v>
      </c>
      <c r="CO170" s="775">
        <f t="shared" si="240"/>
        <v>3.1636086251789455</v>
      </c>
      <c r="CP170" s="775">
        <f t="shared" si="241"/>
        <v>105.7469564298441</v>
      </c>
      <c r="CQ170" s="775">
        <f t="shared" si="242"/>
        <v>17.142271846354841</v>
      </c>
      <c r="CR170" s="775">
        <f t="shared" si="298"/>
        <v>13.418825920927659</v>
      </c>
      <c r="CS170" s="775">
        <f t="shared" si="243"/>
        <v>6.0994663276943903</v>
      </c>
      <c r="CT170" s="775">
        <f t="shared" si="244"/>
        <v>4.0398639989022715</v>
      </c>
      <c r="CU170" s="775">
        <f t="shared" si="245"/>
        <v>3.294114549737936</v>
      </c>
      <c r="CV170" s="775"/>
      <c r="CW170" s="775"/>
      <c r="CX170" s="775"/>
      <c r="CY170" s="775"/>
      <c r="CZ170" s="775"/>
      <c r="DA170" s="775"/>
      <c r="DB170" s="775"/>
      <c r="DC170" s="775"/>
      <c r="DD170" s="775" t="b">
        <f t="shared" si="299"/>
        <v>0</v>
      </c>
      <c r="DE170" s="775">
        <f t="shared" si="300"/>
        <v>0.30762727050216654</v>
      </c>
      <c r="DF170" s="776">
        <v>31</v>
      </c>
      <c r="DG170" s="775">
        <f t="shared" si="301"/>
        <v>35</v>
      </c>
      <c r="DH170" s="673">
        <f t="shared" si="302"/>
        <v>35.307627270502167</v>
      </c>
      <c r="DI170" s="673">
        <f t="shared" si="246"/>
        <v>19</v>
      </c>
      <c r="DJ170" s="775" t="b">
        <f t="shared" si="247"/>
        <v>0</v>
      </c>
      <c r="DK170" s="673"/>
      <c r="DL170" s="775">
        <f t="shared" si="303"/>
        <v>35.307627270502167</v>
      </c>
      <c r="DM170" s="775">
        <f t="shared" si="304"/>
        <v>6.3455829789385867E-2</v>
      </c>
      <c r="DN170" s="775">
        <f t="shared" si="305"/>
        <v>7.4751306314266514E-3</v>
      </c>
      <c r="DO170" s="775">
        <f t="shared" si="248"/>
        <v>1.7074560089257209</v>
      </c>
      <c r="DP170" s="775">
        <f t="shared" si="249"/>
        <v>0.8946546369013697</v>
      </c>
      <c r="DQ170" s="775">
        <f t="shared" si="250"/>
        <v>37.856086827292621</v>
      </c>
      <c r="DR170" s="775">
        <f t="shared" si="251"/>
        <v>64.617314435073638</v>
      </c>
      <c r="DS170" s="775">
        <f t="shared" si="252"/>
        <v>29.883902632883181</v>
      </c>
      <c r="DT170" s="775">
        <f t="shared" si="253"/>
        <v>45.761856995943653</v>
      </c>
      <c r="DU170" s="775">
        <f t="shared" si="254"/>
        <v>89.091985024297756</v>
      </c>
      <c r="DV170" s="775">
        <f t="shared" si="255"/>
        <v>3.6279363960108371</v>
      </c>
      <c r="DW170" s="775">
        <f t="shared" si="256"/>
        <v>17.889609256829587</v>
      </c>
      <c r="DX170" s="775">
        <f t="shared" si="257"/>
        <v>8.1316405712861748</v>
      </c>
      <c r="DY170" s="775">
        <f t="shared" si="258"/>
        <v>35.307627270502167</v>
      </c>
      <c r="DZ170" s="775">
        <f t="shared" si="259"/>
        <v>39.845549503065435</v>
      </c>
      <c r="EA170" s="775"/>
      <c r="EB170" s="775"/>
      <c r="EC170" s="775"/>
      <c r="ED170" s="775"/>
      <c r="EE170" s="775"/>
      <c r="EF170" s="775" t="b">
        <f t="shared" si="306"/>
        <v>0</v>
      </c>
      <c r="EG170" s="775">
        <f t="shared" si="260"/>
        <v>10.960136001097728</v>
      </c>
      <c r="EH170" s="775">
        <v>30</v>
      </c>
      <c r="EI170" s="775">
        <f t="shared" si="311"/>
        <v>15</v>
      </c>
      <c r="EJ170" s="673">
        <f t="shared" si="261"/>
        <v>4.0398639989022715</v>
      </c>
      <c r="EK170" s="673">
        <f t="shared" si="262"/>
        <v>2.2510196371999172</v>
      </c>
      <c r="EL170" s="775" t="b">
        <f t="shared" si="263"/>
        <v>0</v>
      </c>
      <c r="EM170" s="673"/>
      <c r="EN170" s="775">
        <f t="shared" si="264"/>
        <v>4.0398639989022715</v>
      </c>
      <c r="EO170" s="775">
        <f t="shared" si="265"/>
        <v>8.4597565143875286E-2</v>
      </c>
      <c r="EP170" s="775">
        <f t="shared" si="266"/>
        <v>5.6582193867744657E-3</v>
      </c>
      <c r="EQ170" s="775">
        <f t="shared" si="267"/>
        <v>4.8735513285242043</v>
      </c>
      <c r="ER170" s="775">
        <f t="shared" si="268"/>
        <v>2.5056439951773526</v>
      </c>
      <c r="ES170" s="775">
        <f t="shared" si="269"/>
        <v>3.7084337918609251</v>
      </c>
      <c r="ET170" s="775">
        <f t="shared" si="270"/>
        <v>7.2922248289754013</v>
      </c>
      <c r="EU170" s="775">
        <f t="shared" si="271"/>
        <v>2.2164567065880454</v>
      </c>
      <c r="EV170" s="775">
        <f t="shared" si="272"/>
        <v>3.1636086251789455</v>
      </c>
      <c r="EW170" s="775">
        <f t="shared" si="273"/>
        <v>105.7469564298441</v>
      </c>
      <c r="EX170" s="775">
        <f t="shared" si="274"/>
        <v>17.142271846354841</v>
      </c>
      <c r="EY170" s="775">
        <f t="shared" si="307"/>
        <v>13.418825920927659</v>
      </c>
      <c r="EZ170" s="775">
        <f t="shared" si="275"/>
        <v>6.0994663276943903</v>
      </c>
      <c r="FA170" s="775">
        <f t="shared" si="276"/>
        <v>4.0398639989022715</v>
      </c>
      <c r="FB170" s="775">
        <f t="shared" si="277"/>
        <v>3.294114549737936</v>
      </c>
      <c r="FC170" s="775"/>
      <c r="FD170" s="775"/>
      <c r="FE170" s="775"/>
      <c r="FF170" s="775"/>
      <c r="FG170" s="775"/>
      <c r="FH170" s="775"/>
      <c r="FI170" s="775"/>
      <c r="FJ170" s="775"/>
      <c r="FK170" s="775" t="b">
        <f t="shared" si="308"/>
        <v>0</v>
      </c>
      <c r="FL170" s="775">
        <f t="shared" si="278"/>
        <v>4.8455495030654347</v>
      </c>
      <c r="FM170" s="775">
        <v>30</v>
      </c>
      <c r="FN170" s="775">
        <f t="shared" si="309"/>
        <v>35</v>
      </c>
      <c r="FO170" s="673">
        <f t="shared" si="279"/>
        <v>39.845549503065435</v>
      </c>
      <c r="FP170" s="673">
        <f t="shared" si="280"/>
        <v>24.403675819467587</v>
      </c>
      <c r="FQ170" s="775" t="b">
        <f t="shared" si="281"/>
        <v>0</v>
      </c>
      <c r="FR170" s="673"/>
      <c r="FS170" s="775">
        <f t="shared" si="282"/>
        <v>39.845549503065435</v>
      </c>
      <c r="FT170" s="775">
        <f t="shared" si="283"/>
        <v>6.3455829789385867E-2</v>
      </c>
      <c r="FU170" s="775">
        <f t="shared" si="284"/>
        <v>7.4751306314266514E-3</v>
      </c>
      <c r="FV170" s="775">
        <f t="shared" si="285"/>
        <v>1.7074560089257209</v>
      </c>
      <c r="FW170" s="775">
        <f t="shared" si="286"/>
        <v>0.8946546369013697</v>
      </c>
      <c r="FX170" s="775">
        <f t="shared" si="287"/>
        <v>48.622508985624549</v>
      </c>
      <c r="FY170" s="775">
        <f t="shared" si="288"/>
        <v>82.994736515691613</v>
      </c>
      <c r="FZ170" s="775">
        <f t="shared" si="289"/>
        <v>29.883902632883181</v>
      </c>
      <c r="GA170" s="775">
        <f t="shared" si="290"/>
        <v>45.761856995943653</v>
      </c>
      <c r="GB170" s="775">
        <f t="shared" si="291"/>
        <v>89.091985024297756</v>
      </c>
      <c r="GC170" s="775">
        <f t="shared" si="292"/>
        <v>3.6279363960108371</v>
      </c>
      <c r="GD170" s="775">
        <f t="shared" si="293"/>
        <v>6.5170845597575298</v>
      </c>
      <c r="GE170" s="775">
        <f t="shared" si="294"/>
        <v>2.9623111635261496</v>
      </c>
      <c r="GF170" s="775">
        <f t="shared" si="295"/>
        <v>41.334591379128504</v>
      </c>
      <c r="GG170" s="775">
        <f t="shared" si="296"/>
        <v>39.845549503065435</v>
      </c>
    </row>
    <row r="171" spans="70:189">
      <c r="BR171" s="775"/>
      <c r="BS171" s="775"/>
      <c r="BT171" s="775"/>
      <c r="BU171" s="775"/>
      <c r="BV171" s="775"/>
      <c r="BW171" s="775"/>
      <c r="BX171" s="775"/>
      <c r="BY171" s="775" t="b">
        <f t="shared" si="297"/>
        <v>0</v>
      </c>
      <c r="BZ171" s="775">
        <f t="shared" si="229"/>
        <v>11.419526167902234</v>
      </c>
      <c r="CA171" s="775">
        <v>31</v>
      </c>
      <c r="CB171" s="775">
        <f t="shared" si="310"/>
        <v>15.5</v>
      </c>
      <c r="CC171" s="673">
        <f t="shared" si="230"/>
        <v>4.0804738320977672</v>
      </c>
      <c r="CD171" s="91">
        <f t="shared" si="228"/>
        <v>2</v>
      </c>
      <c r="CE171" s="775" t="b">
        <f t="shared" si="231"/>
        <v>0</v>
      </c>
      <c r="CF171" s="673"/>
      <c r="CG171" s="775">
        <f t="shared" si="232"/>
        <v>4.0804738320977672</v>
      </c>
      <c r="CH171" s="775">
        <f t="shared" si="233"/>
        <v>8.1922318183252116E-2</v>
      </c>
      <c r="CI171" s="775">
        <f t="shared" si="234"/>
        <v>5.4792883006224737E-3</v>
      </c>
      <c r="CJ171" s="775">
        <f t="shared" si="235"/>
        <v>4.8929789765307667</v>
      </c>
      <c r="CK171" s="775">
        <f t="shared" si="236"/>
        <v>2.5107126022183044</v>
      </c>
      <c r="CL171" s="775">
        <f t="shared" si="237"/>
        <v>3.7383455062818687</v>
      </c>
      <c r="CM171" s="775">
        <f t="shared" si="238"/>
        <v>7.351042906584432</v>
      </c>
      <c r="CN171" s="775">
        <f t="shared" si="239"/>
        <v>2.2260080520846213</v>
      </c>
      <c r="CO171" s="775">
        <f t="shared" si="240"/>
        <v>3.1768156575179667</v>
      </c>
      <c r="CP171" s="775">
        <f t="shared" si="241"/>
        <v>102.40289772906515</v>
      </c>
      <c r="CQ171" s="775">
        <f t="shared" si="242"/>
        <v>16.60017810432878</v>
      </c>
      <c r="CR171" s="775">
        <f t="shared" si="298"/>
        <v>13.857029746895956</v>
      </c>
      <c r="CS171" s="775">
        <f t="shared" si="243"/>
        <v>6.2986498849527068</v>
      </c>
      <c r="CT171" s="775">
        <f t="shared" si="244"/>
        <v>4.0804738320977672</v>
      </c>
      <c r="CU171" s="775">
        <f t="shared" si="245"/>
        <v>3.3123292179782458</v>
      </c>
      <c r="CV171" s="775"/>
      <c r="CW171" s="775"/>
      <c r="CX171" s="775"/>
      <c r="CY171" s="775"/>
      <c r="CZ171" s="775"/>
      <c r="DA171" s="775"/>
      <c r="DB171" s="775"/>
      <c r="DC171" s="775"/>
      <c r="DD171" s="775" t="b">
        <f t="shared" si="299"/>
        <v>0</v>
      </c>
      <c r="DE171" s="775">
        <f t="shared" si="300"/>
        <v>0.7356175176280928</v>
      </c>
      <c r="DF171" s="776">
        <v>32</v>
      </c>
      <c r="DG171" s="775">
        <f t="shared" si="301"/>
        <v>34.5</v>
      </c>
      <c r="DH171" s="673">
        <f t="shared" si="302"/>
        <v>35.235617517628093</v>
      </c>
      <c r="DI171" s="673">
        <f t="shared" si="246"/>
        <v>19</v>
      </c>
      <c r="DJ171" s="775" t="b">
        <f t="shared" si="247"/>
        <v>0</v>
      </c>
      <c r="DK171" s="673"/>
      <c r="DL171" s="775">
        <f t="shared" si="303"/>
        <v>35.235617517628093</v>
      </c>
      <c r="DM171" s="775">
        <f t="shared" si="304"/>
        <v>6.4243157367656623E-2</v>
      </c>
      <c r="DN171" s="775">
        <f t="shared" si="305"/>
        <v>7.5678782405404653E-3</v>
      </c>
      <c r="DO171" s="775">
        <f t="shared" si="248"/>
        <v>1.7041668182893368</v>
      </c>
      <c r="DP171" s="775">
        <f t="shared" si="249"/>
        <v>0.89375754101785077</v>
      </c>
      <c r="DQ171" s="775">
        <f t="shared" si="250"/>
        <v>37.739564274371524</v>
      </c>
      <c r="DR171" s="775">
        <f t="shared" si="251"/>
        <v>64.418419750706761</v>
      </c>
      <c r="DS171" s="775">
        <f t="shared" si="252"/>
        <v>29.807659137612472</v>
      </c>
      <c r="DT171" s="775">
        <f t="shared" si="253"/>
        <v>45.654123116240193</v>
      </c>
      <c r="DU171" s="775">
        <f t="shared" si="254"/>
        <v>90.1973929441899</v>
      </c>
      <c r="DV171" s="775">
        <f t="shared" si="255"/>
        <v>3.6729499808346753</v>
      </c>
      <c r="DW171" s="775">
        <f t="shared" si="256"/>
        <v>17.670364386099106</v>
      </c>
      <c r="DX171" s="775">
        <f t="shared" si="257"/>
        <v>8.0319838118632294</v>
      </c>
      <c r="DY171" s="775">
        <f t="shared" si="258"/>
        <v>35.235617517628093</v>
      </c>
      <c r="DZ171" s="775">
        <f t="shared" si="259"/>
        <v>39.787992895499201</v>
      </c>
      <c r="EA171" s="775"/>
      <c r="EB171" s="775"/>
      <c r="EC171" s="775"/>
      <c r="ED171" s="775"/>
      <c r="EE171" s="775"/>
      <c r="EF171" s="775" t="b">
        <f t="shared" si="306"/>
        <v>0</v>
      </c>
      <c r="EG171" s="775">
        <f t="shared" si="260"/>
        <v>11.419526167902234</v>
      </c>
      <c r="EH171" s="775">
        <v>31</v>
      </c>
      <c r="EI171" s="775">
        <f t="shared" si="311"/>
        <v>15.5</v>
      </c>
      <c r="EJ171" s="673">
        <f t="shared" si="261"/>
        <v>4.0804738320977672</v>
      </c>
      <c r="EK171" s="673">
        <f t="shared" si="262"/>
        <v>2.2510196371999172</v>
      </c>
      <c r="EL171" s="775" t="b">
        <f t="shared" si="263"/>
        <v>0</v>
      </c>
      <c r="EM171" s="673"/>
      <c r="EN171" s="775">
        <f t="shared" si="264"/>
        <v>4.0804738320977672</v>
      </c>
      <c r="EO171" s="775">
        <f t="shared" si="265"/>
        <v>8.1922318183252116E-2</v>
      </c>
      <c r="EP171" s="775">
        <f t="shared" si="266"/>
        <v>5.4792883006224737E-3</v>
      </c>
      <c r="EQ171" s="775">
        <f t="shared" si="267"/>
        <v>4.8929789765307667</v>
      </c>
      <c r="ER171" s="775">
        <f t="shared" si="268"/>
        <v>2.5107126022183044</v>
      </c>
      <c r="ES171" s="775">
        <f t="shared" si="269"/>
        <v>3.7383455062818687</v>
      </c>
      <c r="ET171" s="775">
        <f t="shared" si="270"/>
        <v>7.351042906584432</v>
      </c>
      <c r="EU171" s="775">
        <f t="shared" si="271"/>
        <v>2.2260080520846213</v>
      </c>
      <c r="EV171" s="775">
        <f t="shared" si="272"/>
        <v>3.1768156575179667</v>
      </c>
      <c r="EW171" s="775">
        <f t="shared" si="273"/>
        <v>102.40289772906515</v>
      </c>
      <c r="EX171" s="775">
        <f t="shared" si="274"/>
        <v>16.60017810432878</v>
      </c>
      <c r="EY171" s="775">
        <f t="shared" si="307"/>
        <v>13.857029746895956</v>
      </c>
      <c r="EZ171" s="775">
        <f t="shared" si="275"/>
        <v>6.2986498849527068</v>
      </c>
      <c r="FA171" s="775">
        <f t="shared" si="276"/>
        <v>4.0804738320977672</v>
      </c>
      <c r="FB171" s="775">
        <f t="shared" si="277"/>
        <v>3.3123292179782458</v>
      </c>
      <c r="FC171" s="775"/>
      <c r="FD171" s="775"/>
      <c r="FE171" s="775"/>
      <c r="FF171" s="775"/>
      <c r="FG171" s="775"/>
      <c r="FH171" s="775"/>
      <c r="FI171" s="775"/>
      <c r="FJ171" s="775"/>
      <c r="FK171" s="775" t="b">
        <f t="shared" si="308"/>
        <v>0</v>
      </c>
      <c r="FL171" s="775">
        <f t="shared" si="278"/>
        <v>5.287992895499201</v>
      </c>
      <c r="FM171" s="775">
        <v>31</v>
      </c>
      <c r="FN171" s="775">
        <f t="shared" si="309"/>
        <v>34.5</v>
      </c>
      <c r="FO171" s="673">
        <f t="shared" si="279"/>
        <v>39.787992895499201</v>
      </c>
      <c r="FP171" s="673">
        <f t="shared" si="280"/>
        <v>24.403675819467587</v>
      </c>
      <c r="FQ171" s="775" t="b">
        <f t="shared" si="281"/>
        <v>0</v>
      </c>
      <c r="FR171" s="673"/>
      <c r="FS171" s="775">
        <f t="shared" si="282"/>
        <v>39.787992895499201</v>
      </c>
      <c r="FT171" s="775">
        <f t="shared" si="283"/>
        <v>6.4243157367656623E-2</v>
      </c>
      <c r="FU171" s="775">
        <f t="shared" si="284"/>
        <v>7.5678782405404653E-3</v>
      </c>
      <c r="FV171" s="775">
        <f t="shared" si="285"/>
        <v>1.7041668182893368</v>
      </c>
      <c r="FW171" s="775">
        <f t="shared" si="286"/>
        <v>0.89375754101785077</v>
      </c>
      <c r="FX171" s="775">
        <f t="shared" si="287"/>
        <v>48.472846953669645</v>
      </c>
      <c r="FY171" s="775">
        <f t="shared" si="288"/>
        <v>82.739275389401882</v>
      </c>
      <c r="FZ171" s="775">
        <f t="shared" si="289"/>
        <v>29.807659137612472</v>
      </c>
      <c r="GA171" s="775">
        <f t="shared" si="290"/>
        <v>45.654123116240193</v>
      </c>
      <c r="GB171" s="775">
        <f t="shared" si="291"/>
        <v>90.1973929441899</v>
      </c>
      <c r="GC171" s="775">
        <f t="shared" si="292"/>
        <v>3.6729499808346753</v>
      </c>
      <c r="GD171" s="775">
        <f t="shared" si="293"/>
        <v>6.4372148800272049</v>
      </c>
      <c r="GE171" s="775">
        <f t="shared" si="294"/>
        <v>2.9260067636487292</v>
      </c>
      <c r="GF171" s="775">
        <f t="shared" si="295"/>
        <v>41.258518359710315</v>
      </c>
      <c r="GG171" s="775">
        <f t="shared" si="296"/>
        <v>39.787992895499201</v>
      </c>
    </row>
    <row r="172" spans="70:189">
      <c r="BR172" s="775"/>
      <c r="BS172" s="775"/>
      <c r="BT172" s="775"/>
      <c r="BU172" s="775"/>
      <c r="BV172" s="775"/>
      <c r="BW172" s="775"/>
      <c r="BX172" s="775"/>
      <c r="BY172" s="775" t="b">
        <f t="shared" si="297"/>
        <v>0</v>
      </c>
      <c r="BZ172" s="775">
        <f t="shared" si="229"/>
        <v>11.879926791731734</v>
      </c>
      <c r="CA172" s="775">
        <v>32</v>
      </c>
      <c r="CB172" s="775">
        <f t="shared" si="310"/>
        <v>16</v>
      </c>
      <c r="CC172" s="673">
        <f t="shared" si="230"/>
        <v>4.1200732082682654</v>
      </c>
      <c r="CD172" s="91">
        <f t="shared" si="228"/>
        <v>2</v>
      </c>
      <c r="CE172" s="775" t="b">
        <f t="shared" si="231"/>
        <v>0</v>
      </c>
      <c r="CF172" s="673"/>
      <c r="CG172" s="775">
        <f t="shared" si="232"/>
        <v>4.1200732082682654</v>
      </c>
      <c r="CH172" s="775">
        <f t="shared" si="233"/>
        <v>7.9412654702472524E-2</v>
      </c>
      <c r="CI172" s="775">
        <f t="shared" si="234"/>
        <v>5.3114320917933356E-3</v>
      </c>
      <c r="CJ172" s="775">
        <f t="shared" si="235"/>
        <v>4.9113883171627126</v>
      </c>
      <c r="CK172" s="775">
        <f t="shared" si="236"/>
        <v>2.5154955599517086</v>
      </c>
      <c r="CL172" s="775">
        <f t="shared" si="237"/>
        <v>3.7675373553903144</v>
      </c>
      <c r="CM172" s="775">
        <f t="shared" si="238"/>
        <v>7.4084454486871154</v>
      </c>
      <c r="CN172" s="775">
        <f t="shared" si="239"/>
        <v>2.2352908565221874</v>
      </c>
      <c r="CO172" s="775">
        <f t="shared" si="240"/>
        <v>3.1896523864008186</v>
      </c>
      <c r="CP172" s="775">
        <f t="shared" si="241"/>
        <v>99.265818378090657</v>
      </c>
      <c r="CQ172" s="775">
        <f t="shared" si="242"/>
        <v>16.091637065857682</v>
      </c>
      <c r="CR172" s="775">
        <f t="shared" si="298"/>
        <v>14.294950902386285</v>
      </c>
      <c r="CS172" s="775">
        <f t="shared" si="243"/>
        <v>6.4977049556301285</v>
      </c>
      <c r="CT172" s="775">
        <f t="shared" si="244"/>
        <v>4.1200732082682654</v>
      </c>
      <c r="CU172" s="775">
        <f t="shared" si="245"/>
        <v>3.3300266024670675</v>
      </c>
      <c r="CV172" s="775"/>
      <c r="CW172" s="775"/>
      <c r="CX172" s="775"/>
      <c r="CY172" s="775"/>
      <c r="CZ172" s="775"/>
      <c r="DA172" s="775"/>
      <c r="DB172" s="775"/>
      <c r="DC172" s="775"/>
      <c r="DD172" s="775" t="b">
        <f t="shared" si="299"/>
        <v>0</v>
      </c>
      <c r="DE172" s="775">
        <f t="shared" si="300"/>
        <v>1.1626197552929867</v>
      </c>
      <c r="DF172" s="776">
        <v>33</v>
      </c>
      <c r="DG172" s="775">
        <f t="shared" si="301"/>
        <v>34</v>
      </c>
      <c r="DH172" s="673">
        <f t="shared" si="302"/>
        <v>35.162619755292987</v>
      </c>
      <c r="DI172" s="673">
        <f t="shared" si="246"/>
        <v>19</v>
      </c>
      <c r="DJ172" s="775" t="b">
        <f t="shared" si="247"/>
        <v>0</v>
      </c>
      <c r="DK172" s="673"/>
      <c r="DL172" s="775">
        <f t="shared" si="303"/>
        <v>35.162619755292987</v>
      </c>
      <c r="DM172" s="775">
        <f t="shared" si="304"/>
        <v>6.505196350760907E-2</v>
      </c>
      <c r="DN172" s="775">
        <f t="shared" si="305"/>
        <v>7.6631560356888598E-3</v>
      </c>
      <c r="DO172" s="775">
        <f t="shared" si="248"/>
        <v>1.7008049978316808</v>
      </c>
      <c r="DP172" s="775">
        <f t="shared" si="249"/>
        <v>0.89283877636992415</v>
      </c>
      <c r="DQ172" s="775">
        <f t="shared" si="250"/>
        <v>37.621707150279974</v>
      </c>
      <c r="DR172" s="775">
        <f t="shared" si="251"/>
        <v>64.217247060022117</v>
      </c>
      <c r="DS172" s="775">
        <f t="shared" si="252"/>
        <v>29.730468853123693</v>
      </c>
      <c r="DT172" s="775">
        <f t="shared" si="253"/>
        <v>45.545020529259325</v>
      </c>
      <c r="DU172" s="775">
        <f t="shared" si="254"/>
        <v>91.332956764683132</v>
      </c>
      <c r="DV172" s="775">
        <f t="shared" si="255"/>
        <v>3.7191915514230613</v>
      </c>
      <c r="DW172" s="775">
        <f t="shared" si="256"/>
        <v>17.450664650071886</v>
      </c>
      <c r="DX172" s="775">
        <f t="shared" si="257"/>
        <v>7.9321202954872199</v>
      </c>
      <c r="DY172" s="775">
        <f t="shared" si="258"/>
        <v>35.162619755292987</v>
      </c>
      <c r="DZ172" s="775">
        <f t="shared" si="259"/>
        <v>39.729592700213047</v>
      </c>
      <c r="EA172" s="775"/>
      <c r="EB172" s="775"/>
      <c r="EC172" s="775"/>
      <c r="ED172" s="775"/>
      <c r="EE172" s="775"/>
      <c r="EF172" s="775" t="b">
        <f t="shared" si="306"/>
        <v>0</v>
      </c>
      <c r="EG172" s="775">
        <f t="shared" si="260"/>
        <v>11.879926791731734</v>
      </c>
      <c r="EH172" s="775">
        <v>32</v>
      </c>
      <c r="EI172" s="775">
        <f t="shared" si="311"/>
        <v>16</v>
      </c>
      <c r="EJ172" s="673">
        <f t="shared" si="261"/>
        <v>4.1200732082682654</v>
      </c>
      <c r="EK172" s="673">
        <f t="shared" si="262"/>
        <v>2.2510196371999172</v>
      </c>
      <c r="EL172" s="775" t="b">
        <f t="shared" si="263"/>
        <v>0</v>
      </c>
      <c r="EM172" s="673"/>
      <c r="EN172" s="775">
        <f t="shared" si="264"/>
        <v>4.1200732082682654</v>
      </c>
      <c r="EO172" s="775">
        <f t="shared" si="265"/>
        <v>7.9412654702472524E-2</v>
      </c>
      <c r="EP172" s="775">
        <f t="shared" si="266"/>
        <v>5.3114320917933356E-3</v>
      </c>
      <c r="EQ172" s="775">
        <f t="shared" si="267"/>
        <v>4.9113883171627126</v>
      </c>
      <c r="ER172" s="775">
        <f t="shared" si="268"/>
        <v>2.5154955599517086</v>
      </c>
      <c r="ES172" s="775">
        <f t="shared" si="269"/>
        <v>3.7675373553903144</v>
      </c>
      <c r="ET172" s="775">
        <f t="shared" si="270"/>
        <v>7.4084454486871154</v>
      </c>
      <c r="EU172" s="775">
        <f t="shared" si="271"/>
        <v>2.2352908565221874</v>
      </c>
      <c r="EV172" s="775">
        <f t="shared" si="272"/>
        <v>3.1896523864008186</v>
      </c>
      <c r="EW172" s="775">
        <f t="shared" si="273"/>
        <v>99.265818378090657</v>
      </c>
      <c r="EX172" s="775">
        <f t="shared" si="274"/>
        <v>16.091637065857682</v>
      </c>
      <c r="EY172" s="775">
        <f t="shared" si="307"/>
        <v>14.294950902386285</v>
      </c>
      <c r="EZ172" s="775">
        <f t="shared" si="275"/>
        <v>6.4977049556301285</v>
      </c>
      <c r="FA172" s="775">
        <f t="shared" si="276"/>
        <v>4.1200732082682654</v>
      </c>
      <c r="FB172" s="775">
        <f t="shared" si="277"/>
        <v>3.3300266024670675</v>
      </c>
      <c r="FC172" s="775"/>
      <c r="FD172" s="775"/>
      <c r="FE172" s="775"/>
      <c r="FF172" s="775"/>
      <c r="FG172" s="775"/>
      <c r="FH172" s="775"/>
      <c r="FI172" s="775"/>
      <c r="FJ172" s="775"/>
      <c r="FK172" s="775" t="b">
        <f t="shared" si="308"/>
        <v>0</v>
      </c>
      <c r="FL172" s="775">
        <f t="shared" si="278"/>
        <v>5.7295927002130469</v>
      </c>
      <c r="FM172" s="775">
        <v>32</v>
      </c>
      <c r="FN172" s="775">
        <f t="shared" si="309"/>
        <v>34</v>
      </c>
      <c r="FO172" s="673">
        <f t="shared" si="279"/>
        <v>39.729592700213047</v>
      </c>
      <c r="FP172" s="673">
        <f t="shared" si="280"/>
        <v>24.403675819467587</v>
      </c>
      <c r="FQ172" s="775" t="b">
        <f t="shared" si="281"/>
        <v>0</v>
      </c>
      <c r="FR172" s="673"/>
      <c r="FS172" s="775">
        <f t="shared" si="282"/>
        <v>39.729592700213047</v>
      </c>
      <c r="FT172" s="775">
        <f t="shared" si="283"/>
        <v>6.505196350760907E-2</v>
      </c>
      <c r="FU172" s="775">
        <f t="shared" si="284"/>
        <v>7.6631560356888598E-3</v>
      </c>
      <c r="FV172" s="775">
        <f t="shared" si="285"/>
        <v>1.7008049978316808</v>
      </c>
      <c r="FW172" s="775">
        <f t="shared" si="286"/>
        <v>0.89283877636992415</v>
      </c>
      <c r="FX172" s="775">
        <f t="shared" si="287"/>
        <v>48.321470793177802</v>
      </c>
      <c r="FY172" s="775">
        <f t="shared" si="288"/>
        <v>82.480888382707249</v>
      </c>
      <c r="FZ172" s="775">
        <f t="shared" si="289"/>
        <v>29.730468853123693</v>
      </c>
      <c r="GA172" s="775">
        <f t="shared" si="290"/>
        <v>45.545020529259325</v>
      </c>
      <c r="GB172" s="775">
        <f t="shared" si="291"/>
        <v>91.332956764683132</v>
      </c>
      <c r="GC172" s="775">
        <f t="shared" si="292"/>
        <v>3.7191915514230613</v>
      </c>
      <c r="GD172" s="775">
        <f t="shared" si="293"/>
        <v>6.3571794954142513</v>
      </c>
      <c r="GE172" s="775">
        <f t="shared" si="294"/>
        <v>2.8896270433701141</v>
      </c>
      <c r="GF172" s="775">
        <f t="shared" si="295"/>
        <v>41.181373093086926</v>
      </c>
      <c r="GG172" s="775">
        <f t="shared" si="296"/>
        <v>39.729592700213047</v>
      </c>
    </row>
    <row r="173" spans="70:189">
      <c r="BR173" s="775"/>
      <c r="BS173" s="775"/>
      <c r="BT173" s="775"/>
      <c r="BU173" s="775"/>
      <c r="BV173" s="775"/>
      <c r="BW173" s="775"/>
      <c r="BX173" s="775"/>
      <c r="BY173" s="775" t="b">
        <f t="shared" si="297"/>
        <v>0</v>
      </c>
      <c r="BZ173" s="775">
        <f t="shared" si="229"/>
        <v>12.341282531105033</v>
      </c>
      <c r="CA173" s="775">
        <v>33</v>
      </c>
      <c r="CB173" s="775">
        <f t="shared" si="310"/>
        <v>16.5</v>
      </c>
      <c r="CC173" s="673">
        <f t="shared" si="230"/>
        <v>4.1587174688949657</v>
      </c>
      <c r="CD173" s="91">
        <f t="shared" si="228"/>
        <v>2</v>
      </c>
      <c r="CE173" s="775" t="b">
        <f t="shared" si="231"/>
        <v>0</v>
      </c>
      <c r="CF173" s="673"/>
      <c r="CG173" s="775">
        <f t="shared" si="232"/>
        <v>4.1587174688949657</v>
      </c>
      <c r="CH173" s="775">
        <f t="shared" si="233"/>
        <v>7.705361738349914E-2</v>
      </c>
      <c r="CI173" s="775">
        <f t="shared" si="234"/>
        <v>5.1536503557630042E-3</v>
      </c>
      <c r="CJ173" s="775">
        <f t="shared" si="235"/>
        <v>4.928857895705975</v>
      </c>
      <c r="CK173" s="775">
        <f t="shared" si="236"/>
        <v>2.5200164656568242</v>
      </c>
      <c r="CL173" s="775">
        <f t="shared" si="237"/>
        <v>3.7960483699334744</v>
      </c>
      <c r="CM173" s="775">
        <f t="shared" si="238"/>
        <v>7.4645092049303079</v>
      </c>
      <c r="CN173" s="775">
        <f t="shared" si="239"/>
        <v>2.2443207263693132</v>
      </c>
      <c r="CO173" s="775">
        <f t="shared" si="240"/>
        <v>3.202140302621459</v>
      </c>
      <c r="CP173" s="775">
        <f t="shared" si="241"/>
        <v>96.31702172937392</v>
      </c>
      <c r="CQ173" s="775">
        <f t="shared" si="242"/>
        <v>15.613617882341432</v>
      </c>
      <c r="CR173" s="775">
        <f t="shared" si="298"/>
        <v>14.732598397685356</v>
      </c>
      <c r="CS173" s="775">
        <f t="shared" si="243"/>
        <v>6.6966356353115248</v>
      </c>
      <c r="CT173" s="775">
        <f t="shared" si="244"/>
        <v>4.1587174688949657</v>
      </c>
      <c r="CU173" s="775">
        <f t="shared" si="245"/>
        <v>3.3472368798507537</v>
      </c>
      <c r="CV173" s="775"/>
      <c r="CW173" s="775"/>
      <c r="CX173" s="775"/>
      <c r="CY173" s="775"/>
      <c r="CZ173" s="775"/>
      <c r="DA173" s="775"/>
      <c r="DB173" s="775"/>
      <c r="DC173" s="775"/>
      <c r="DD173" s="775" t="b">
        <f t="shared" si="299"/>
        <v>0</v>
      </c>
      <c r="DE173" s="775">
        <f t="shared" si="300"/>
        <v>1.5886059312204353</v>
      </c>
      <c r="DF173" s="776">
        <v>34</v>
      </c>
      <c r="DG173" s="775">
        <f t="shared" si="301"/>
        <v>33.5</v>
      </c>
      <c r="DH173" s="673">
        <f t="shared" si="302"/>
        <v>35.088605931220435</v>
      </c>
      <c r="DI173" s="673">
        <f t="shared" si="246"/>
        <v>19</v>
      </c>
      <c r="DJ173" s="775" t="b">
        <f t="shared" si="247"/>
        <v>0</v>
      </c>
      <c r="DK173" s="673"/>
      <c r="DL173" s="775">
        <f t="shared" si="303"/>
        <v>35.088605931220435</v>
      </c>
      <c r="DM173" s="775">
        <f t="shared" si="304"/>
        <v>6.5883163126379707E-2</v>
      </c>
      <c r="DN173" s="775">
        <f t="shared" si="305"/>
        <v>7.7610717945990346E-3</v>
      </c>
      <c r="DO173" s="775">
        <f t="shared" si="248"/>
        <v>1.697368006117973</v>
      </c>
      <c r="DP173" s="775">
        <f t="shared" si="249"/>
        <v>0.89189751979117071</v>
      </c>
      <c r="DQ173" s="775">
        <f t="shared" si="250"/>
        <v>37.502480201994608</v>
      </c>
      <c r="DR173" s="775">
        <f t="shared" si="251"/>
        <v>64.0137361889266</v>
      </c>
      <c r="DS173" s="775">
        <f t="shared" si="252"/>
        <v>29.652305969974801</v>
      </c>
      <c r="DT173" s="775">
        <f t="shared" si="253"/>
        <v>45.434511504677346</v>
      </c>
      <c r="DU173" s="775">
        <f t="shared" si="254"/>
        <v>92.499961029437102</v>
      </c>
      <c r="DV173" s="775">
        <f t="shared" si="255"/>
        <v>3.7667134159908575</v>
      </c>
      <c r="DW173" s="775">
        <f t="shared" si="256"/>
        <v>17.230502394404077</v>
      </c>
      <c r="DX173" s="775">
        <f t="shared" si="257"/>
        <v>7.8320465429109438</v>
      </c>
      <c r="DY173" s="775">
        <f t="shared" si="258"/>
        <v>35.088605931220435</v>
      </c>
      <c r="DZ173" s="775">
        <f t="shared" si="259"/>
        <v>39.670324070741358</v>
      </c>
      <c r="EA173" s="775"/>
      <c r="EB173" s="775"/>
      <c r="EC173" s="775"/>
      <c r="ED173" s="775"/>
      <c r="EE173" s="775"/>
      <c r="EF173" s="775" t="b">
        <f t="shared" si="306"/>
        <v>0</v>
      </c>
      <c r="EG173" s="775">
        <f t="shared" si="260"/>
        <v>12.341282531105033</v>
      </c>
      <c r="EH173" s="775">
        <v>33</v>
      </c>
      <c r="EI173" s="775">
        <f t="shared" si="311"/>
        <v>16.5</v>
      </c>
      <c r="EJ173" s="673">
        <f t="shared" si="261"/>
        <v>4.1587174688949657</v>
      </c>
      <c r="EK173" s="673">
        <f t="shared" si="262"/>
        <v>2.2510196371999172</v>
      </c>
      <c r="EL173" s="775" t="b">
        <f t="shared" si="263"/>
        <v>0</v>
      </c>
      <c r="EM173" s="673"/>
      <c r="EN173" s="775">
        <f t="shared" si="264"/>
        <v>4.1587174688949657</v>
      </c>
      <c r="EO173" s="775">
        <f t="shared" si="265"/>
        <v>7.705361738349914E-2</v>
      </c>
      <c r="EP173" s="775">
        <f t="shared" si="266"/>
        <v>5.1536503557630042E-3</v>
      </c>
      <c r="EQ173" s="775">
        <f t="shared" si="267"/>
        <v>4.928857895705975</v>
      </c>
      <c r="ER173" s="775">
        <f t="shared" si="268"/>
        <v>2.5200164656568242</v>
      </c>
      <c r="ES173" s="775">
        <f t="shared" si="269"/>
        <v>3.7960483699334744</v>
      </c>
      <c r="ET173" s="775">
        <f t="shared" si="270"/>
        <v>7.4645092049303079</v>
      </c>
      <c r="EU173" s="775">
        <f t="shared" si="271"/>
        <v>2.2443207263693132</v>
      </c>
      <c r="EV173" s="775">
        <f t="shared" si="272"/>
        <v>3.202140302621459</v>
      </c>
      <c r="EW173" s="775">
        <f t="shared" si="273"/>
        <v>96.31702172937392</v>
      </c>
      <c r="EX173" s="775">
        <f t="shared" si="274"/>
        <v>15.613617882341432</v>
      </c>
      <c r="EY173" s="775">
        <f t="shared" si="307"/>
        <v>14.732598397685356</v>
      </c>
      <c r="EZ173" s="775">
        <f t="shared" si="275"/>
        <v>6.6966356353115248</v>
      </c>
      <c r="FA173" s="775">
        <f t="shared" si="276"/>
        <v>4.1587174688949657</v>
      </c>
      <c r="FB173" s="775">
        <f t="shared" si="277"/>
        <v>3.3472368798507537</v>
      </c>
      <c r="FC173" s="775"/>
      <c r="FD173" s="775"/>
      <c r="FE173" s="775"/>
      <c r="FF173" s="775"/>
      <c r="FG173" s="775"/>
      <c r="FH173" s="775"/>
      <c r="FI173" s="775"/>
      <c r="FJ173" s="775"/>
      <c r="FK173" s="775" t="b">
        <f t="shared" si="308"/>
        <v>0</v>
      </c>
      <c r="FL173" s="775">
        <f t="shared" si="278"/>
        <v>6.1703240707413585</v>
      </c>
      <c r="FM173" s="775">
        <v>33</v>
      </c>
      <c r="FN173" s="775">
        <f t="shared" si="309"/>
        <v>33.5</v>
      </c>
      <c r="FO173" s="673">
        <f t="shared" si="279"/>
        <v>39.670324070741358</v>
      </c>
      <c r="FP173" s="673">
        <f t="shared" si="280"/>
        <v>24.403675819467587</v>
      </c>
      <c r="FQ173" s="775" t="b">
        <f t="shared" si="281"/>
        <v>0</v>
      </c>
      <c r="FR173" s="673"/>
      <c r="FS173" s="775">
        <f t="shared" si="282"/>
        <v>39.670324070741358</v>
      </c>
      <c r="FT173" s="775">
        <f t="shared" si="283"/>
        <v>6.5883163126379707E-2</v>
      </c>
      <c r="FU173" s="775">
        <f t="shared" si="284"/>
        <v>7.7610717945990346E-3</v>
      </c>
      <c r="FV173" s="775">
        <f t="shared" si="285"/>
        <v>1.697368006117973</v>
      </c>
      <c r="FW173" s="775">
        <f t="shared" si="286"/>
        <v>0.89189751979117071</v>
      </c>
      <c r="FX173" s="775">
        <f t="shared" si="287"/>
        <v>48.168335225025139</v>
      </c>
      <c r="FY173" s="775">
        <f t="shared" si="288"/>
        <v>82.219498207762385</v>
      </c>
      <c r="FZ173" s="775">
        <f t="shared" si="289"/>
        <v>29.652305969974801</v>
      </c>
      <c r="GA173" s="775">
        <f t="shared" si="290"/>
        <v>45.434511504677346</v>
      </c>
      <c r="GB173" s="775">
        <f t="shared" si="291"/>
        <v>92.499961029437102</v>
      </c>
      <c r="GC173" s="775">
        <f t="shared" si="292"/>
        <v>3.7667134159908575</v>
      </c>
      <c r="GD173" s="775">
        <f t="shared" si="293"/>
        <v>6.276975617484033</v>
      </c>
      <c r="GE173" s="775">
        <f t="shared" si="294"/>
        <v>2.8531707352200146</v>
      </c>
      <c r="GF173" s="775">
        <f t="shared" si="295"/>
        <v>41.103124735505581</v>
      </c>
      <c r="GG173" s="775">
        <f t="shared" si="296"/>
        <v>39.670324070741358</v>
      </c>
    </row>
    <row r="174" spans="70:189">
      <c r="BR174" s="775"/>
      <c r="BS174" s="775"/>
      <c r="BT174" s="775"/>
      <c r="BU174" s="775"/>
      <c r="BV174" s="775"/>
      <c r="BW174" s="775"/>
      <c r="BX174" s="775"/>
      <c r="BY174" s="775" t="b">
        <f t="shared" si="297"/>
        <v>0</v>
      </c>
      <c r="BZ174" s="775">
        <f t="shared" si="229"/>
        <v>12.803542639329105</v>
      </c>
      <c r="CA174" s="775">
        <v>34</v>
      </c>
      <c r="CB174" s="775">
        <f t="shared" si="310"/>
        <v>17</v>
      </c>
      <c r="CC174" s="673">
        <f t="shared" si="230"/>
        <v>4.1964573606708955</v>
      </c>
      <c r="CD174" s="91">
        <f t="shared" si="228"/>
        <v>2</v>
      </c>
      <c r="CE174" s="775" t="b">
        <f t="shared" si="231"/>
        <v>0</v>
      </c>
      <c r="CF174" s="673"/>
      <c r="CG174" s="775">
        <f t="shared" si="232"/>
        <v>4.1964573606708955</v>
      </c>
      <c r="CH174" s="775">
        <f t="shared" si="233"/>
        <v>7.4832000322846912E-2</v>
      </c>
      <c r="CI174" s="775">
        <f t="shared" si="234"/>
        <v>5.0050598295322216E-3</v>
      </c>
      <c r="CJ174" s="775">
        <f t="shared" si="235"/>
        <v>4.9454583438686459</v>
      </c>
      <c r="CK174" s="775">
        <f t="shared" si="236"/>
        <v>2.5242963796534075</v>
      </c>
      <c r="CL174" s="775">
        <f t="shared" si="237"/>
        <v>3.823914357859143</v>
      </c>
      <c r="CM174" s="775">
        <f t="shared" si="238"/>
        <v>7.5193045876823144</v>
      </c>
      <c r="CN174" s="775">
        <f t="shared" si="239"/>
        <v>2.2531119211214183</v>
      </c>
      <c r="CO174" s="775">
        <f t="shared" si="240"/>
        <v>3.214299043802304</v>
      </c>
      <c r="CP174" s="775">
        <f t="shared" si="241"/>
        <v>93.540000403558636</v>
      </c>
      <c r="CQ174" s="775">
        <f t="shared" si="242"/>
        <v>15.163444599842917</v>
      </c>
      <c r="CR174" s="775">
        <f t="shared" si="298"/>
        <v>15.169980691447757</v>
      </c>
      <c r="CS174" s="775">
        <f t="shared" si="243"/>
        <v>6.8954457688398891</v>
      </c>
      <c r="CT174" s="775">
        <f t="shared" si="244"/>
        <v>4.1964573606708955</v>
      </c>
      <c r="CU174" s="775">
        <f t="shared" si="245"/>
        <v>3.3639876164370768</v>
      </c>
      <c r="CV174" s="775"/>
      <c r="CW174" s="775"/>
      <c r="CX174" s="775"/>
      <c r="CY174" s="775"/>
      <c r="CZ174" s="775"/>
      <c r="DA174" s="775"/>
      <c r="DB174" s="775"/>
      <c r="DC174" s="775"/>
      <c r="DD174" s="775" t="b">
        <f t="shared" si="299"/>
        <v>0</v>
      </c>
      <c r="DE174" s="775">
        <f t="shared" si="300"/>
        <v>2.0135467676820653</v>
      </c>
      <c r="DF174" s="776">
        <v>35</v>
      </c>
      <c r="DG174" s="775">
        <f t="shared" si="301"/>
        <v>33</v>
      </c>
      <c r="DH174" s="673">
        <f t="shared" si="302"/>
        <v>35.013546767682065</v>
      </c>
      <c r="DI174" s="673">
        <f t="shared" si="246"/>
        <v>19</v>
      </c>
      <c r="DJ174" s="775" t="b">
        <f t="shared" si="247"/>
        <v>0</v>
      </c>
      <c r="DK174" s="673"/>
      <c r="DL174" s="775">
        <f t="shared" si="303"/>
        <v>35.013546767682065</v>
      </c>
      <c r="DM174" s="775">
        <f t="shared" si="304"/>
        <v>6.6737724551136079E-2</v>
      </c>
      <c r="DN174" s="775">
        <f t="shared" si="305"/>
        <v>7.8617395867283633E-3</v>
      </c>
      <c r="DO174" s="775">
        <f t="shared" si="248"/>
        <v>1.6938531784154476</v>
      </c>
      <c r="DP174" s="775">
        <f t="shared" si="249"/>
        <v>0.89093290502863876</v>
      </c>
      <c r="DQ174" s="775">
        <f t="shared" si="250"/>
        <v>37.381846701958843</v>
      </c>
      <c r="DR174" s="775">
        <f t="shared" si="251"/>
        <v>63.807824446416689</v>
      </c>
      <c r="DS174" s="775">
        <f t="shared" si="252"/>
        <v>29.573143578622751</v>
      </c>
      <c r="DT174" s="775">
        <f t="shared" si="253"/>
        <v>45.322556692162564</v>
      </c>
      <c r="DU174" s="775">
        <f t="shared" si="254"/>
        <v>93.699765269795051</v>
      </c>
      <c r="DV174" s="775">
        <f t="shared" si="255"/>
        <v>3.8155709363446313</v>
      </c>
      <c r="DW174" s="775">
        <f t="shared" si="256"/>
        <v>17.009869719639333</v>
      </c>
      <c r="DX174" s="775">
        <f t="shared" si="257"/>
        <v>7.7317589634724238</v>
      </c>
      <c r="DY174" s="775">
        <f t="shared" si="258"/>
        <v>35.013546767682065</v>
      </c>
      <c r="DZ174" s="775">
        <f t="shared" si="259"/>
        <v>39.610161047583581</v>
      </c>
      <c r="EA174" s="775"/>
      <c r="EB174" s="775"/>
      <c r="EC174" s="775"/>
      <c r="ED174" s="775"/>
      <c r="EE174" s="775"/>
      <c r="EF174" s="775" t="b">
        <f t="shared" si="306"/>
        <v>0</v>
      </c>
      <c r="EG174" s="775">
        <f t="shared" si="260"/>
        <v>12.803542639329105</v>
      </c>
      <c r="EH174" s="775">
        <v>34</v>
      </c>
      <c r="EI174" s="775">
        <f t="shared" si="311"/>
        <v>17</v>
      </c>
      <c r="EJ174" s="673">
        <f t="shared" si="261"/>
        <v>4.1964573606708955</v>
      </c>
      <c r="EK174" s="673">
        <f t="shared" si="262"/>
        <v>2.2510196371999172</v>
      </c>
      <c r="EL174" s="775" t="b">
        <f t="shared" si="263"/>
        <v>0</v>
      </c>
      <c r="EM174" s="673"/>
      <c r="EN174" s="775">
        <f t="shared" si="264"/>
        <v>4.1964573606708955</v>
      </c>
      <c r="EO174" s="775">
        <f t="shared" si="265"/>
        <v>7.4832000322846912E-2</v>
      </c>
      <c r="EP174" s="775">
        <f t="shared" si="266"/>
        <v>5.0050598295322216E-3</v>
      </c>
      <c r="EQ174" s="775">
        <f t="shared" si="267"/>
        <v>4.9454583438686459</v>
      </c>
      <c r="ER174" s="775">
        <f t="shared" si="268"/>
        <v>2.5242963796534075</v>
      </c>
      <c r="ES174" s="775">
        <f t="shared" si="269"/>
        <v>3.823914357859143</v>
      </c>
      <c r="ET174" s="775">
        <f t="shared" si="270"/>
        <v>7.5193045876823144</v>
      </c>
      <c r="EU174" s="775">
        <f t="shared" si="271"/>
        <v>2.2531119211214183</v>
      </c>
      <c r="EV174" s="775">
        <f t="shared" si="272"/>
        <v>3.214299043802304</v>
      </c>
      <c r="EW174" s="775">
        <f t="shared" si="273"/>
        <v>93.540000403558636</v>
      </c>
      <c r="EX174" s="775">
        <f t="shared" si="274"/>
        <v>15.163444599842917</v>
      </c>
      <c r="EY174" s="775">
        <f t="shared" si="307"/>
        <v>15.169980691447757</v>
      </c>
      <c r="EZ174" s="775">
        <f t="shared" si="275"/>
        <v>6.8954457688398891</v>
      </c>
      <c r="FA174" s="775">
        <f t="shared" si="276"/>
        <v>4.1964573606708955</v>
      </c>
      <c r="FB174" s="775">
        <f t="shared" si="277"/>
        <v>3.3639876164370768</v>
      </c>
      <c r="FC174" s="775"/>
      <c r="FD174" s="775"/>
      <c r="FE174" s="775"/>
      <c r="FF174" s="775"/>
      <c r="FG174" s="775"/>
      <c r="FH174" s="775"/>
      <c r="FI174" s="775"/>
      <c r="FJ174" s="775"/>
      <c r="FK174" s="775" t="b">
        <f t="shared" si="308"/>
        <v>0</v>
      </c>
      <c r="FL174" s="775">
        <f t="shared" si="278"/>
        <v>6.6101610475835813</v>
      </c>
      <c r="FM174" s="775">
        <v>34</v>
      </c>
      <c r="FN174" s="775">
        <f t="shared" si="309"/>
        <v>33</v>
      </c>
      <c r="FO174" s="673">
        <f t="shared" si="279"/>
        <v>39.610161047583581</v>
      </c>
      <c r="FP174" s="673">
        <f t="shared" si="280"/>
        <v>24.403675819467587</v>
      </c>
      <c r="FQ174" s="775" t="b">
        <f t="shared" si="281"/>
        <v>0</v>
      </c>
      <c r="FR174" s="673"/>
      <c r="FS174" s="775">
        <f t="shared" si="282"/>
        <v>39.610161047583581</v>
      </c>
      <c r="FT174" s="775">
        <f t="shared" si="283"/>
        <v>6.6737724551136079E-2</v>
      </c>
      <c r="FU174" s="775">
        <f t="shared" si="284"/>
        <v>7.8617395867283633E-3</v>
      </c>
      <c r="FV174" s="775">
        <f t="shared" si="285"/>
        <v>1.6938531784154476</v>
      </c>
      <c r="FW174" s="775">
        <f t="shared" si="286"/>
        <v>0.89093290502863876</v>
      </c>
      <c r="FX174" s="775">
        <f t="shared" si="287"/>
        <v>48.013393076191427</v>
      </c>
      <c r="FY174" s="775">
        <f t="shared" si="288"/>
        <v>81.955024343992193</v>
      </c>
      <c r="FZ174" s="775">
        <f t="shared" si="289"/>
        <v>29.573143578622751</v>
      </c>
      <c r="GA174" s="775">
        <f t="shared" si="290"/>
        <v>45.322556692162564</v>
      </c>
      <c r="GB174" s="775">
        <f t="shared" si="291"/>
        <v>93.699765269795051</v>
      </c>
      <c r="GC174" s="775">
        <f t="shared" si="292"/>
        <v>3.8155709363446313</v>
      </c>
      <c r="GD174" s="775">
        <f t="shared" si="293"/>
        <v>6.1966003685087987</v>
      </c>
      <c r="GE174" s="775">
        <f t="shared" si="294"/>
        <v>2.8166365311403627</v>
      </c>
      <c r="GF174" s="775">
        <f t="shared" si="295"/>
        <v>41.023741084437205</v>
      </c>
      <c r="GG174" s="775">
        <f t="shared" si="296"/>
        <v>39.610161047583581</v>
      </c>
    </row>
    <row r="175" spans="70:189">
      <c r="BR175" s="775"/>
      <c r="BS175" s="775"/>
      <c r="BT175" s="775"/>
      <c r="BU175" s="775"/>
      <c r="BV175" s="775"/>
      <c r="BW175" s="775"/>
      <c r="BX175" s="775"/>
      <c r="BY175" s="775" t="b">
        <f t="shared" si="297"/>
        <v>0</v>
      </c>
      <c r="BZ175" s="775">
        <f t="shared" si="229"/>
        <v>13.266660460561582</v>
      </c>
      <c r="CA175" s="775">
        <v>35</v>
      </c>
      <c r="CB175" s="775">
        <f t="shared" si="310"/>
        <v>17.5</v>
      </c>
      <c r="CC175" s="673">
        <f t="shared" si="230"/>
        <v>4.2333395394384192</v>
      </c>
      <c r="CD175" s="91">
        <f t="shared" si="228"/>
        <v>2</v>
      </c>
      <c r="CE175" s="775" t="b">
        <f t="shared" si="231"/>
        <v>0</v>
      </c>
      <c r="CF175" s="673"/>
      <c r="CG175" s="775">
        <f t="shared" si="232"/>
        <v>4.2333395394384192</v>
      </c>
      <c r="CH175" s="775">
        <f t="shared" si="233"/>
        <v>7.2736099756903219E-2</v>
      </c>
      <c r="CI175" s="775">
        <f t="shared" si="234"/>
        <v>4.8648777191510843E-3</v>
      </c>
      <c r="CJ175" s="775">
        <f t="shared" si="235"/>
        <v>4.9612533558288883</v>
      </c>
      <c r="CK175" s="775">
        <f t="shared" si="236"/>
        <v>2.5283541580435687</v>
      </c>
      <c r="CL175" s="775">
        <f t="shared" si="237"/>
        <v>3.8511682564927443</v>
      </c>
      <c r="CM175" s="775">
        <f t="shared" si="238"/>
        <v>7.5728963645500889</v>
      </c>
      <c r="CN175" s="775">
        <f t="shared" si="239"/>
        <v>2.2616775053233487</v>
      </c>
      <c r="CO175" s="775">
        <f t="shared" si="240"/>
        <v>3.2261466034101258</v>
      </c>
      <c r="CP175" s="775">
        <f t="shared" si="241"/>
        <v>90.920124696129022</v>
      </c>
      <c r="CQ175" s="775">
        <f t="shared" si="242"/>
        <v>14.738745647772229</v>
      </c>
      <c r="CR175" s="775">
        <f t="shared" si="298"/>
        <v>15.607105739708853</v>
      </c>
      <c r="CS175" s="775">
        <f t="shared" si="243"/>
        <v>7.0941389725949326</v>
      </c>
      <c r="CT175" s="775">
        <f t="shared" si="244"/>
        <v>4.2333395394384192</v>
      </c>
      <c r="CU175" s="775">
        <f t="shared" si="245"/>
        <v>3.3803040632622805</v>
      </c>
      <c r="CV175" s="775"/>
      <c r="CW175" s="775"/>
      <c r="CX175" s="775"/>
      <c r="CY175" s="775"/>
      <c r="CZ175" s="775"/>
      <c r="DA175" s="775"/>
      <c r="DB175" s="775"/>
      <c r="DC175" s="775"/>
      <c r="DD175" s="775" t="b">
        <f t="shared" si="299"/>
        <v>0</v>
      </c>
      <c r="DE175" s="775">
        <f t="shared" si="300"/>
        <v>2.43741168858039</v>
      </c>
      <c r="DF175" s="776">
        <v>36</v>
      </c>
      <c r="DG175" s="775">
        <f t="shared" si="301"/>
        <v>32.5</v>
      </c>
      <c r="DH175" s="673">
        <f t="shared" si="302"/>
        <v>34.93741168858039</v>
      </c>
      <c r="DI175" s="673">
        <f t="shared" si="246"/>
        <v>19</v>
      </c>
      <c r="DJ175" s="775" t="b">
        <f t="shared" si="247"/>
        <v>0</v>
      </c>
      <c r="DK175" s="673"/>
      <c r="DL175" s="775">
        <f t="shared" si="303"/>
        <v>34.93741168858039</v>
      </c>
      <c r="DM175" s="775">
        <f t="shared" si="304"/>
        <v>6.7616673505716832E-2</v>
      </c>
      <c r="DN175" s="775">
        <f t="shared" si="305"/>
        <v>7.9652802428927232E-3</v>
      </c>
      <c r="DO175" s="775">
        <f t="shared" si="248"/>
        <v>1.6902577189691683</v>
      </c>
      <c r="DP175" s="775">
        <f t="shared" si="249"/>
        <v>0.88994401984666138</v>
      </c>
      <c r="DQ175" s="775">
        <f t="shared" si="250"/>
        <v>37.259768362988098</v>
      </c>
      <c r="DR175" s="775">
        <f t="shared" si="251"/>
        <v>63.599446479328527</v>
      </c>
      <c r="DS175" s="775">
        <f t="shared" si="252"/>
        <v>29.492953605088346</v>
      </c>
      <c r="DT175" s="775">
        <f t="shared" si="253"/>
        <v>45.209115026122092</v>
      </c>
      <c r="DU175" s="775">
        <f t="shared" si="254"/>
        <v>94.933809602026429</v>
      </c>
      <c r="DV175" s="775">
        <f t="shared" si="255"/>
        <v>3.8658227558093352</v>
      </c>
      <c r="DW175" s="775">
        <f t="shared" si="256"/>
        <v>16.788758469521891</v>
      </c>
      <c r="DX175" s="775">
        <f t="shared" si="257"/>
        <v>7.6312538497826772</v>
      </c>
      <c r="DY175" s="775">
        <f t="shared" si="258"/>
        <v>34.93741168858039</v>
      </c>
      <c r="DZ175" s="775">
        <f t="shared" si="259"/>
        <v>39.549076490699868</v>
      </c>
      <c r="EA175" s="775"/>
      <c r="EB175" s="775"/>
      <c r="EC175" s="775"/>
      <c r="ED175" s="775"/>
      <c r="EE175" s="775"/>
      <c r="EF175" s="775" t="b">
        <f t="shared" si="306"/>
        <v>0</v>
      </c>
      <c r="EG175" s="775">
        <f t="shared" si="260"/>
        <v>13.266660460561582</v>
      </c>
      <c r="EH175" s="775">
        <v>35</v>
      </c>
      <c r="EI175" s="775">
        <f t="shared" si="311"/>
        <v>17.5</v>
      </c>
      <c r="EJ175" s="673">
        <f t="shared" si="261"/>
        <v>4.2333395394384192</v>
      </c>
      <c r="EK175" s="673">
        <f t="shared" si="262"/>
        <v>2.2510196371999172</v>
      </c>
      <c r="EL175" s="775" t="b">
        <f t="shared" si="263"/>
        <v>0</v>
      </c>
      <c r="EM175" s="673"/>
      <c r="EN175" s="775">
        <f t="shared" si="264"/>
        <v>4.2333395394384192</v>
      </c>
      <c r="EO175" s="775">
        <f t="shared" si="265"/>
        <v>7.2736099756903219E-2</v>
      </c>
      <c r="EP175" s="775">
        <f t="shared" si="266"/>
        <v>4.8648777191510843E-3</v>
      </c>
      <c r="EQ175" s="775">
        <f t="shared" si="267"/>
        <v>4.9612533558288883</v>
      </c>
      <c r="ER175" s="775">
        <f t="shared" si="268"/>
        <v>2.5283541580435687</v>
      </c>
      <c r="ES175" s="775">
        <f t="shared" si="269"/>
        <v>3.8511682564927443</v>
      </c>
      <c r="ET175" s="775">
        <f t="shared" si="270"/>
        <v>7.5728963645500889</v>
      </c>
      <c r="EU175" s="775">
        <f t="shared" si="271"/>
        <v>2.2616775053233487</v>
      </c>
      <c r="EV175" s="775">
        <f t="shared" si="272"/>
        <v>3.2261466034101258</v>
      </c>
      <c r="EW175" s="775">
        <f t="shared" si="273"/>
        <v>90.920124696129022</v>
      </c>
      <c r="EX175" s="775">
        <f t="shared" si="274"/>
        <v>14.738745647772229</v>
      </c>
      <c r="EY175" s="775">
        <f t="shared" si="307"/>
        <v>15.607105739708853</v>
      </c>
      <c r="EZ175" s="775">
        <f t="shared" si="275"/>
        <v>7.0941389725949326</v>
      </c>
      <c r="FA175" s="775">
        <f t="shared" si="276"/>
        <v>4.2333395394384192</v>
      </c>
      <c r="FB175" s="775">
        <f t="shared" si="277"/>
        <v>3.3803040632622805</v>
      </c>
      <c r="FC175" s="775"/>
      <c r="FD175" s="775"/>
      <c r="FE175" s="775"/>
      <c r="FF175" s="775"/>
      <c r="FG175" s="775"/>
      <c r="FH175" s="775"/>
      <c r="FI175" s="775"/>
      <c r="FJ175" s="775"/>
      <c r="FK175" s="775" t="b">
        <f t="shared" si="308"/>
        <v>0</v>
      </c>
      <c r="FL175" s="775">
        <f t="shared" si="278"/>
        <v>7.0490764906998677</v>
      </c>
      <c r="FM175" s="775">
        <v>35</v>
      </c>
      <c r="FN175" s="775">
        <f t="shared" si="309"/>
        <v>32.5</v>
      </c>
      <c r="FO175" s="673">
        <f t="shared" si="279"/>
        <v>39.549076490699868</v>
      </c>
      <c r="FP175" s="673">
        <f t="shared" si="280"/>
        <v>24.403675819467587</v>
      </c>
      <c r="FQ175" s="775" t="b">
        <f t="shared" si="281"/>
        <v>0</v>
      </c>
      <c r="FR175" s="673"/>
      <c r="FS175" s="775">
        <f t="shared" si="282"/>
        <v>39.549076490699868</v>
      </c>
      <c r="FT175" s="775">
        <f t="shared" si="283"/>
        <v>6.7616673505716832E-2</v>
      </c>
      <c r="FU175" s="775">
        <f t="shared" si="284"/>
        <v>7.9652802428927232E-3</v>
      </c>
      <c r="FV175" s="775">
        <f t="shared" si="285"/>
        <v>1.6902577189691683</v>
      </c>
      <c r="FW175" s="775">
        <f t="shared" si="286"/>
        <v>0.88994401984666138</v>
      </c>
      <c r="FX175" s="775">
        <f t="shared" si="287"/>
        <v>47.856595170464004</v>
      </c>
      <c r="FY175" s="775">
        <f t="shared" si="288"/>
        <v>81.687382851532234</v>
      </c>
      <c r="FZ175" s="775">
        <f t="shared" si="289"/>
        <v>29.492953605088346</v>
      </c>
      <c r="GA175" s="775">
        <f t="shared" si="290"/>
        <v>45.209115026122092</v>
      </c>
      <c r="GB175" s="775">
        <f t="shared" si="291"/>
        <v>94.933809602026429</v>
      </c>
      <c r="GC175" s="775">
        <f t="shared" si="292"/>
        <v>3.8658227558093352</v>
      </c>
      <c r="GD175" s="775">
        <f t="shared" si="293"/>
        <v>6.1160507772102113</v>
      </c>
      <c r="GE175" s="775">
        <f t="shared" si="294"/>
        <v>2.7800230805500958</v>
      </c>
      <c r="GF175" s="775">
        <f t="shared" si="295"/>
        <v>40.943188497227332</v>
      </c>
      <c r="GG175" s="775">
        <f t="shared" si="296"/>
        <v>39.549076490699868</v>
      </c>
    </row>
    <row r="176" spans="70:189">
      <c r="BR176" s="775"/>
      <c r="BS176" s="775"/>
      <c r="BT176" s="775"/>
      <c r="BU176" s="775"/>
      <c r="BV176" s="775"/>
      <c r="BW176" s="775"/>
      <c r="BX176" s="775"/>
      <c r="BY176" s="775" t="b">
        <f t="shared" si="297"/>
        <v>0</v>
      </c>
      <c r="BZ176" s="775">
        <f t="shared" si="229"/>
        <v>13.730592993821936</v>
      </c>
      <c r="CA176" s="775">
        <v>36</v>
      </c>
      <c r="CB176" s="775">
        <f t="shared" si="310"/>
        <v>18</v>
      </c>
      <c r="CC176" s="673">
        <f t="shared" si="230"/>
        <v>4.2694070061780636</v>
      </c>
      <c r="CD176" s="91">
        <f t="shared" si="228"/>
        <v>2</v>
      </c>
      <c r="CE176" s="775" t="b">
        <f t="shared" si="231"/>
        <v>0</v>
      </c>
      <c r="CF176" s="673"/>
      <c r="CG176" s="775">
        <f t="shared" si="232"/>
        <v>4.2694070061780636</v>
      </c>
      <c r="CH176" s="775">
        <f t="shared" si="233"/>
        <v>7.0755506206453683E-2</v>
      </c>
      <c r="CI176" s="775">
        <f t="shared" si="234"/>
        <v>4.7324077975237321E-3</v>
      </c>
      <c r="CJ176" s="775">
        <f t="shared" si="235"/>
        <v>4.9763005227981907</v>
      </c>
      <c r="CK176" s="775">
        <f t="shared" si="236"/>
        <v>2.5322067343312322</v>
      </c>
      <c r="CL176" s="775">
        <f t="shared" si="237"/>
        <v>3.8778404373548834</v>
      </c>
      <c r="CM176" s="775">
        <f t="shared" si="238"/>
        <v>7.6253442577692381</v>
      </c>
      <c r="CN176" s="775">
        <f t="shared" si="239"/>
        <v>2.2700294796252916</v>
      </c>
      <c r="CO176" s="775">
        <f t="shared" si="240"/>
        <v>3.2376995109596223</v>
      </c>
      <c r="CP176" s="775">
        <f t="shared" si="241"/>
        <v>88.444382758067107</v>
      </c>
      <c r="CQ176" s="775">
        <f t="shared" si="242"/>
        <v>14.337411720475373</v>
      </c>
      <c r="CR176" s="775">
        <f t="shared" si="298"/>
        <v>16.043981039265848</v>
      </c>
      <c r="CS176" s="775">
        <f t="shared" si="243"/>
        <v>7.2927186542117486</v>
      </c>
      <c r="CT176" s="775">
        <f t="shared" si="244"/>
        <v>4.2694070061780636</v>
      </c>
      <c r="CU176" s="775">
        <f t="shared" si="245"/>
        <v>3.3962094104152118</v>
      </c>
      <c r="CV176" s="775"/>
      <c r="CW176" s="775"/>
      <c r="CX176" s="775"/>
      <c r="CY176" s="775"/>
      <c r="CZ176" s="775"/>
      <c r="DA176" s="775"/>
      <c r="DB176" s="775"/>
      <c r="DC176" s="775"/>
      <c r="DD176" s="775" t="b">
        <f t="shared" si="299"/>
        <v>0</v>
      </c>
      <c r="DE176" s="775">
        <f t="shared" si="300"/>
        <v>2.8601687410017504</v>
      </c>
      <c r="DF176" s="776">
        <v>37</v>
      </c>
      <c r="DG176" s="775">
        <f t="shared" si="301"/>
        <v>32</v>
      </c>
      <c r="DH176" s="673">
        <f t="shared" si="302"/>
        <v>34.86016874100175</v>
      </c>
      <c r="DI176" s="673">
        <f t="shared" si="246"/>
        <v>19</v>
      </c>
      <c r="DJ176" s="775" t="b">
        <f t="shared" si="247"/>
        <v>0</v>
      </c>
      <c r="DK176" s="673"/>
      <c r="DL176" s="775">
        <f t="shared" si="303"/>
        <v>34.86016874100175</v>
      </c>
      <c r="DM176" s="775">
        <f t="shared" si="304"/>
        <v>6.8521097461711353E-2</v>
      </c>
      <c r="DN176" s="775">
        <f t="shared" si="305"/>
        <v>8.0718218678260019E-3</v>
      </c>
      <c r="DO176" s="775">
        <f t="shared" si="248"/>
        <v>1.6865786926800399</v>
      </c>
      <c r="DP176" s="775">
        <f t="shared" si="249"/>
        <v>0.88892990289137019</v>
      </c>
      <c r="DQ176" s="775">
        <f t="shared" si="250"/>
        <v>37.136205246870752</v>
      </c>
      <c r="DR176" s="775">
        <f t="shared" si="251"/>
        <v>63.388534116327087</v>
      </c>
      <c r="DS176" s="775">
        <f t="shared" si="252"/>
        <v>29.411706741806064</v>
      </c>
      <c r="DT176" s="775">
        <f t="shared" si="253"/>
        <v>45.094143623289213</v>
      </c>
      <c r="DU176" s="775">
        <f t="shared" si="254"/>
        <v>96.203620836242735</v>
      </c>
      <c r="DV176" s="775">
        <f t="shared" si="255"/>
        <v>3.9175310479909538</v>
      </c>
      <c r="DW176" s="775">
        <f t="shared" si="256"/>
        <v>16.567160218563838</v>
      </c>
      <c r="DX176" s="775">
        <f t="shared" si="257"/>
        <v>7.530527372074471</v>
      </c>
      <c r="DY176" s="775">
        <f t="shared" si="258"/>
        <v>34.86016874100175</v>
      </c>
      <c r="DZ176" s="775">
        <f t="shared" si="259"/>
        <v>39.487042006808004</v>
      </c>
      <c r="EA176" s="775"/>
      <c r="EB176" s="775"/>
      <c r="EC176" s="775"/>
      <c r="ED176" s="775"/>
      <c r="EE176" s="775"/>
      <c r="EF176" s="775" t="b">
        <f t="shared" si="306"/>
        <v>0</v>
      </c>
      <c r="EG176" s="775">
        <f t="shared" si="260"/>
        <v>13.730592993821936</v>
      </c>
      <c r="EH176" s="775">
        <v>36</v>
      </c>
      <c r="EI176" s="775">
        <f t="shared" si="311"/>
        <v>18</v>
      </c>
      <c r="EJ176" s="673">
        <f t="shared" si="261"/>
        <v>4.2694070061780636</v>
      </c>
      <c r="EK176" s="673">
        <f t="shared" si="262"/>
        <v>2.2510196371999172</v>
      </c>
      <c r="EL176" s="775" t="b">
        <f t="shared" si="263"/>
        <v>0</v>
      </c>
      <c r="EM176" s="673"/>
      <c r="EN176" s="775">
        <f t="shared" si="264"/>
        <v>4.2694070061780636</v>
      </c>
      <c r="EO176" s="775">
        <f t="shared" si="265"/>
        <v>7.0755506206453683E-2</v>
      </c>
      <c r="EP176" s="775">
        <f t="shared" si="266"/>
        <v>4.7324077975237321E-3</v>
      </c>
      <c r="EQ176" s="775">
        <f t="shared" si="267"/>
        <v>4.9763005227981907</v>
      </c>
      <c r="ER176" s="775">
        <f t="shared" si="268"/>
        <v>2.5322067343312322</v>
      </c>
      <c r="ES176" s="775">
        <f t="shared" si="269"/>
        <v>3.8778404373548834</v>
      </c>
      <c r="ET176" s="775">
        <f t="shared" si="270"/>
        <v>7.6253442577692381</v>
      </c>
      <c r="EU176" s="775">
        <f t="shared" si="271"/>
        <v>2.2700294796252916</v>
      </c>
      <c r="EV176" s="775">
        <f t="shared" si="272"/>
        <v>3.2376995109596223</v>
      </c>
      <c r="EW176" s="775">
        <f t="shared" si="273"/>
        <v>88.444382758067107</v>
      </c>
      <c r="EX176" s="775">
        <f t="shared" si="274"/>
        <v>14.337411720475373</v>
      </c>
      <c r="EY176" s="775">
        <f t="shared" si="307"/>
        <v>16.043981039265848</v>
      </c>
      <c r="EZ176" s="775">
        <f t="shared" si="275"/>
        <v>7.2927186542117486</v>
      </c>
      <c r="FA176" s="775">
        <f t="shared" si="276"/>
        <v>4.2694070061780636</v>
      </c>
      <c r="FB176" s="775">
        <f t="shared" si="277"/>
        <v>3.3962094104152118</v>
      </c>
      <c r="FC176" s="775"/>
      <c r="FD176" s="775"/>
      <c r="FE176" s="775"/>
      <c r="FF176" s="775"/>
      <c r="FG176" s="775"/>
      <c r="FH176" s="775"/>
      <c r="FI176" s="775"/>
      <c r="FJ176" s="775"/>
      <c r="FK176" s="775" t="b">
        <f t="shared" si="308"/>
        <v>0</v>
      </c>
      <c r="FL176" s="775">
        <f t="shared" si="278"/>
        <v>7.4870420068080037</v>
      </c>
      <c r="FM176" s="775">
        <v>36</v>
      </c>
      <c r="FN176" s="775">
        <f t="shared" si="309"/>
        <v>32</v>
      </c>
      <c r="FO176" s="673">
        <f>FS176</f>
        <v>39.487042006808004</v>
      </c>
      <c r="FP176" s="673">
        <f t="shared" si="280"/>
        <v>24.403675819467587</v>
      </c>
      <c r="FQ176" s="775" t="b">
        <f t="shared" si="281"/>
        <v>0</v>
      </c>
      <c r="FR176" s="673"/>
      <c r="FS176" s="775">
        <f t="shared" si="282"/>
        <v>39.487042006808004</v>
      </c>
      <c r="FT176" s="775">
        <f t="shared" si="283"/>
        <v>6.8521097461711353E-2</v>
      </c>
      <c r="FU176" s="775">
        <f t="shared" si="284"/>
        <v>8.0718218678260019E-3</v>
      </c>
      <c r="FV176" s="775">
        <f t="shared" si="285"/>
        <v>1.6865786926800399</v>
      </c>
      <c r="FW176" s="775">
        <f t="shared" si="286"/>
        <v>0.88892990289137019</v>
      </c>
      <c r="FX176" s="775">
        <f t="shared" si="287"/>
        <v>47.697890211044481</v>
      </c>
      <c r="FY176" s="775">
        <f t="shared" si="288"/>
        <v>81.416486170847762</v>
      </c>
      <c r="FZ176" s="775">
        <f t="shared" si="289"/>
        <v>29.411706741806064</v>
      </c>
      <c r="GA176" s="775">
        <f t="shared" si="290"/>
        <v>45.094143623289213</v>
      </c>
      <c r="GB176" s="775">
        <f t="shared" si="291"/>
        <v>96.203620836242735</v>
      </c>
      <c r="GC176" s="775">
        <f t="shared" si="292"/>
        <v>3.9175310479909538</v>
      </c>
      <c r="GD176" s="775">
        <f t="shared" si="293"/>
        <v>6.0353237742301618</v>
      </c>
      <c r="GE176" s="775">
        <f t="shared" si="294"/>
        <v>2.7433289882864371</v>
      </c>
      <c r="GF176" s="775">
        <f t="shared" si="295"/>
        <v>40.861431803547724</v>
      </c>
      <c r="GG176" s="775">
        <f t="shared" si="296"/>
        <v>39.487042006808004</v>
      </c>
    </row>
    <row r="177" spans="70:189">
      <c r="BR177" s="775"/>
      <c r="BS177" s="775"/>
      <c r="BT177" s="775"/>
      <c r="BU177" s="775"/>
      <c r="BV177" s="775"/>
      <c r="BW177" s="775"/>
      <c r="BX177" s="775"/>
      <c r="BY177" s="775" t="b">
        <f t="shared" si="297"/>
        <v>0</v>
      </c>
      <c r="BZ177" s="775">
        <f t="shared" si="229"/>
        <v>14.195300514173214</v>
      </c>
      <c r="CA177" s="775">
        <v>37</v>
      </c>
      <c r="CB177" s="775">
        <f t="shared" si="310"/>
        <v>18.5</v>
      </c>
      <c r="CC177" s="673">
        <f t="shared" si="230"/>
        <v>4.3046994858267862</v>
      </c>
      <c r="CD177" s="91">
        <f t="shared" si="228"/>
        <v>2</v>
      </c>
      <c r="CE177" s="775" t="b">
        <f t="shared" si="231"/>
        <v>0</v>
      </c>
      <c r="CF177" s="673"/>
      <c r="CG177" s="775">
        <f t="shared" si="232"/>
        <v>4.3046994858267862</v>
      </c>
      <c r="CH177" s="775">
        <f t="shared" si="233"/>
        <v>6.8880930224540143E-2</v>
      </c>
      <c r="CI177" s="775">
        <f t="shared" si="234"/>
        <v>4.6070287497366469E-3</v>
      </c>
      <c r="CJ177" s="775">
        <f t="shared" si="235"/>
        <v>4.9906520495391034</v>
      </c>
      <c r="CK177" s="775">
        <f t="shared" si="236"/>
        <v>2.5358693588676027</v>
      </c>
      <c r="CL177" s="775">
        <f t="shared" si="237"/>
        <v>3.9039589711160958</v>
      </c>
      <c r="CM177" s="775">
        <f t="shared" si="238"/>
        <v>7.6767034652082282</v>
      </c>
      <c r="CN177" s="775">
        <f t="shared" si="239"/>
        <v>2.2781788942602565</v>
      </c>
      <c r="CO177" s="775">
        <f t="shared" si="240"/>
        <v>3.248972988058771</v>
      </c>
      <c r="CP177" s="775">
        <f t="shared" si="241"/>
        <v>86.101162780675182</v>
      </c>
      <c r="CQ177" s="775">
        <f t="shared" si="242"/>
        <v>13.957560467972321</v>
      </c>
      <c r="CR177" s="775">
        <f t="shared" si="298"/>
        <v>16.480613666212705</v>
      </c>
      <c r="CS177" s="775">
        <f t="shared" si="243"/>
        <v>7.4911880300966835</v>
      </c>
      <c r="CT177" s="775">
        <f t="shared" si="244"/>
        <v>4.3046994858267862</v>
      </c>
      <c r="CU177" s="775">
        <f t="shared" si="245"/>
        <v>3.411725007208708</v>
      </c>
      <c r="CV177" s="775"/>
      <c r="CW177" s="775"/>
      <c r="CX177" s="775"/>
      <c r="CY177" s="775"/>
      <c r="CZ177" s="775"/>
      <c r="DA177" s="775"/>
      <c r="DB177" s="775"/>
      <c r="DC177" s="775"/>
      <c r="DD177" s="775" t="b">
        <f t="shared" si="299"/>
        <v>0</v>
      </c>
      <c r="DE177" s="775">
        <f t="shared" si="300"/>
        <v>3.2817845107264247</v>
      </c>
      <c r="DF177" s="776">
        <v>38</v>
      </c>
      <c r="DG177" s="775">
        <f t="shared" si="301"/>
        <v>31.5</v>
      </c>
      <c r="DH177" s="673">
        <f t="shared" si="302"/>
        <v>34.781784510726425</v>
      </c>
      <c r="DI177" s="673">
        <f t="shared" si="246"/>
        <v>19</v>
      </c>
      <c r="DJ177" s="775" t="b">
        <f t="shared" si="247"/>
        <v>0</v>
      </c>
      <c r="DK177" s="673"/>
      <c r="DL177" s="775">
        <f t="shared" si="303"/>
        <v>34.781784510726425</v>
      </c>
      <c r="DM177" s="775">
        <f t="shared" si="304"/>
        <v>6.9452150393601059E-2</v>
      </c>
      <c r="DN177" s="775">
        <f t="shared" si="305"/>
        <v>8.1815004003382742E-3</v>
      </c>
      <c r="DO177" s="775">
        <f t="shared" si="248"/>
        <v>1.6828130161295454</v>
      </c>
      <c r="DP177" s="775">
        <f t="shared" si="249"/>
        <v>0.88788954029231459</v>
      </c>
      <c r="DQ177" s="775">
        <f t="shared" si="250"/>
        <v>37.011115666091392</v>
      </c>
      <c r="DR177" s="775">
        <f t="shared" si="251"/>
        <v>63.175016200155575</v>
      </c>
      <c r="DS177" s="775">
        <f t="shared" si="252"/>
        <v>29.329372373217382</v>
      </c>
      <c r="DT177" s="775">
        <f t="shared" si="253"/>
        <v>44.977597672492323</v>
      </c>
      <c r="DU177" s="775">
        <f t="shared" si="254"/>
        <v>97.510819152615881</v>
      </c>
      <c r="DV177" s="775">
        <f t="shared" si="255"/>
        <v>3.9707617886404165</v>
      </c>
      <c r="DW177" s="775">
        <f t="shared" si="256"/>
        <v>16.345066258806455</v>
      </c>
      <c r="DX177" s="775">
        <f t="shared" si="257"/>
        <v>7.4295755721847518</v>
      </c>
      <c r="DY177" s="775">
        <f t="shared" si="258"/>
        <v>34.781784510726425</v>
      </c>
      <c r="DZ177" s="775">
        <f t="shared" si="259"/>
        <v>39.424027870993385</v>
      </c>
      <c r="EA177" s="775"/>
      <c r="EB177" s="775"/>
      <c r="EC177" s="775"/>
      <c r="ED177" s="775"/>
      <c r="EE177" s="775"/>
      <c r="EF177" s="775" t="b">
        <f t="shared" si="306"/>
        <v>0</v>
      </c>
      <c r="EG177" s="775">
        <f t="shared" si="260"/>
        <v>14.195300514173214</v>
      </c>
      <c r="EH177" s="775">
        <v>37</v>
      </c>
      <c r="EI177" s="775">
        <f t="shared" si="311"/>
        <v>18.5</v>
      </c>
      <c r="EJ177" s="673">
        <f t="shared" si="261"/>
        <v>4.3046994858267862</v>
      </c>
      <c r="EK177" s="673">
        <f t="shared" si="262"/>
        <v>2.2510196371999172</v>
      </c>
      <c r="EL177" s="775" t="b">
        <f t="shared" si="263"/>
        <v>0</v>
      </c>
      <c r="EM177" s="673"/>
      <c r="EN177" s="775">
        <f t="shared" si="264"/>
        <v>4.3046994858267862</v>
      </c>
      <c r="EO177" s="775">
        <f t="shared" si="265"/>
        <v>6.8880930224540143E-2</v>
      </c>
      <c r="EP177" s="775">
        <f t="shared" si="266"/>
        <v>4.6070287497366469E-3</v>
      </c>
      <c r="EQ177" s="775">
        <f t="shared" si="267"/>
        <v>4.9906520495391034</v>
      </c>
      <c r="ER177" s="775">
        <f t="shared" si="268"/>
        <v>2.5358693588676027</v>
      </c>
      <c r="ES177" s="775">
        <f t="shared" si="269"/>
        <v>3.9039589711160958</v>
      </c>
      <c r="ET177" s="775">
        <f t="shared" si="270"/>
        <v>7.6767034652082282</v>
      </c>
      <c r="EU177" s="775">
        <f t="shared" si="271"/>
        <v>2.2781788942602565</v>
      </c>
      <c r="EV177" s="775">
        <f t="shared" si="272"/>
        <v>3.248972988058771</v>
      </c>
      <c r="EW177" s="775">
        <f t="shared" si="273"/>
        <v>86.101162780675182</v>
      </c>
      <c r="EX177" s="775">
        <f t="shared" si="274"/>
        <v>13.957560467972321</v>
      </c>
      <c r="EY177" s="775">
        <f t="shared" si="307"/>
        <v>16.480613666212705</v>
      </c>
      <c r="EZ177" s="775">
        <f t="shared" si="275"/>
        <v>7.4911880300966835</v>
      </c>
      <c r="FA177" s="775">
        <f t="shared" si="276"/>
        <v>4.3046994858267862</v>
      </c>
      <c r="FB177" s="775">
        <f t="shared" si="277"/>
        <v>3.411725007208708</v>
      </c>
      <c r="FC177" s="775"/>
      <c r="FD177" s="775"/>
      <c r="FE177" s="775"/>
      <c r="FF177" s="775"/>
      <c r="FG177" s="775"/>
      <c r="FH177" s="775"/>
      <c r="FI177" s="775"/>
      <c r="FJ177" s="775"/>
      <c r="FK177" s="775" t="b">
        <f t="shared" si="308"/>
        <v>0</v>
      </c>
      <c r="FL177" s="775">
        <f t="shared" si="278"/>
        <v>7.9240278709933847</v>
      </c>
      <c r="FM177" s="775">
        <v>37</v>
      </c>
      <c r="FN177" s="775">
        <f t="shared" si="309"/>
        <v>31.5</v>
      </c>
      <c r="FO177" s="673">
        <f t="shared" ref="FO177:FO240" si="312">FS177</f>
        <v>39.424027870993385</v>
      </c>
      <c r="FP177" s="673">
        <f t="shared" si="280"/>
        <v>24.403675819467587</v>
      </c>
      <c r="FQ177" s="775" t="b">
        <f t="shared" si="281"/>
        <v>0</v>
      </c>
      <c r="FR177" s="673"/>
      <c r="FS177" s="775">
        <f t="shared" si="282"/>
        <v>39.424027870993385</v>
      </c>
      <c r="FT177" s="775">
        <f t="shared" si="283"/>
        <v>6.9452150393601059E-2</v>
      </c>
      <c r="FU177" s="775">
        <f t="shared" si="284"/>
        <v>8.1815004003382742E-3</v>
      </c>
      <c r="FV177" s="775">
        <f t="shared" si="285"/>
        <v>1.6828130161295454</v>
      </c>
      <c r="FW177" s="775">
        <f t="shared" si="286"/>
        <v>0.88788954029231459</v>
      </c>
      <c r="FX177" s="775">
        <f t="shared" si="287"/>
        <v>47.537224654321712</v>
      </c>
      <c r="FY177" s="775">
        <f t="shared" si="288"/>
        <v>81.142242907274195</v>
      </c>
      <c r="FZ177" s="775">
        <f t="shared" si="289"/>
        <v>29.329372373217382</v>
      </c>
      <c r="GA177" s="775">
        <f t="shared" si="290"/>
        <v>44.977597672492323</v>
      </c>
      <c r="GB177" s="775">
        <f t="shared" si="291"/>
        <v>97.510819152615881</v>
      </c>
      <c r="GC177" s="775">
        <f t="shared" si="292"/>
        <v>3.9707617886404165</v>
      </c>
      <c r="GD177" s="775">
        <f t="shared" si="293"/>
        <v>5.9544161873080101</v>
      </c>
      <c r="GE177" s="775">
        <f t="shared" si="294"/>
        <v>2.7065528124127316</v>
      </c>
      <c r="GF177" s="775">
        <f t="shared" si="295"/>
        <v>40.778434211071833</v>
      </c>
      <c r="GG177" s="775">
        <f t="shared" si="296"/>
        <v>39.424027870993385</v>
      </c>
    </row>
    <row r="178" spans="70:189">
      <c r="BR178" s="775"/>
      <c r="BS178" s="775"/>
      <c r="BT178" s="775"/>
      <c r="BU178" s="775"/>
      <c r="BV178" s="775"/>
      <c r="BW178" s="775"/>
      <c r="BX178" s="775"/>
      <c r="BY178" s="775" t="b">
        <f t="shared" si="297"/>
        <v>0</v>
      </c>
      <c r="BZ178" s="775">
        <f t="shared" si="229"/>
        <v>14.660746242248557</v>
      </c>
      <c r="CA178" s="775">
        <v>38</v>
      </c>
      <c r="CB178" s="775">
        <f t="shared" si="310"/>
        <v>19</v>
      </c>
      <c r="CC178" s="673">
        <f t="shared" si="230"/>
        <v>4.3392537577514441</v>
      </c>
      <c r="CD178" s="91">
        <f t="shared" si="228"/>
        <v>2</v>
      </c>
      <c r="CE178" s="775" t="b">
        <f t="shared" si="231"/>
        <v>0</v>
      </c>
      <c r="CF178" s="673"/>
      <c r="CG178" s="775">
        <f t="shared" si="232"/>
        <v>4.3392537577514441</v>
      </c>
      <c r="CH178" s="775">
        <f t="shared" si="233"/>
        <v>6.7104055573562166E-2</v>
      </c>
      <c r="CI178" s="775">
        <f t="shared" si="234"/>
        <v>4.4881843529631354E-3</v>
      </c>
      <c r="CJ178" s="775">
        <f t="shared" si="235"/>
        <v>5.0043553719282103</v>
      </c>
      <c r="CK178" s="775">
        <f t="shared" si="236"/>
        <v>2.5393558033222523</v>
      </c>
      <c r="CL178" s="775">
        <f t="shared" si="237"/>
        <v>3.9295498588298035</v>
      </c>
      <c r="CM178" s="775">
        <f t="shared" si="238"/>
        <v>7.7270251150624052</v>
      </c>
      <c r="CN178" s="775">
        <f t="shared" si="239"/>
        <v>2.2861359477078054</v>
      </c>
      <c r="CO178" s="775">
        <f t="shared" si="240"/>
        <v>3.259981084093972</v>
      </c>
      <c r="CP178" s="775">
        <f t="shared" si="241"/>
        <v>83.880069466952705</v>
      </c>
      <c r="CQ178" s="775">
        <f t="shared" si="242"/>
        <v>13.597506744769312</v>
      </c>
      <c r="CR178" s="775">
        <f t="shared" si="298"/>
        <v>16.917010310286656</v>
      </c>
      <c r="CS178" s="775">
        <f t="shared" si="243"/>
        <v>7.6895501410393887</v>
      </c>
      <c r="CT178" s="775">
        <f t="shared" si="244"/>
        <v>4.3392537577514441</v>
      </c>
      <c r="CU178" s="775">
        <f t="shared" si="245"/>
        <v>3.4268705535748354</v>
      </c>
      <c r="CV178" s="775"/>
      <c r="CW178" s="775"/>
      <c r="CX178" s="775"/>
      <c r="CY178" s="775"/>
      <c r="CZ178" s="775"/>
      <c r="DA178" s="775"/>
      <c r="DB178" s="775"/>
      <c r="DC178" s="775"/>
      <c r="DD178" s="775" t="b">
        <f t="shared" si="299"/>
        <v>0</v>
      </c>
      <c r="DE178" s="775">
        <f t="shared" si="300"/>
        <v>3.7022240311271588</v>
      </c>
      <c r="DF178" s="776">
        <v>39</v>
      </c>
      <c r="DG178" s="775">
        <f t="shared" si="301"/>
        <v>31</v>
      </c>
      <c r="DH178" s="673">
        <f t="shared" si="302"/>
        <v>34.702224031127159</v>
      </c>
      <c r="DI178" s="673">
        <f t="shared" si="246"/>
        <v>19</v>
      </c>
      <c r="DJ178" s="775" t="b">
        <f t="shared" si="247"/>
        <v>0</v>
      </c>
      <c r="DK178" s="673"/>
      <c r="DL178" s="775">
        <f t="shared" si="303"/>
        <v>34.702224031127159</v>
      </c>
      <c r="DM178" s="775">
        <f t="shared" si="304"/>
        <v>7.0411057982599862E-2</v>
      </c>
      <c r="DN178" s="775">
        <f t="shared" si="305"/>
        <v>8.2944602263309904E-3</v>
      </c>
      <c r="DO178" s="775">
        <f t="shared" si="248"/>
        <v>1.6789574478897222</v>
      </c>
      <c r="DP178" s="775">
        <f t="shared" si="249"/>
        <v>0.88682186197488044</v>
      </c>
      <c r="DQ178" s="775">
        <f t="shared" si="250"/>
        <v>36.884456078040586</v>
      </c>
      <c r="DR178" s="775">
        <f t="shared" si="251"/>
        <v>62.958818407059979</v>
      </c>
      <c r="DS178" s="775">
        <f t="shared" si="252"/>
        <v>29.245918495617552</v>
      </c>
      <c r="DT178" s="775">
        <f t="shared" si="253"/>
        <v>44.859430315873972</v>
      </c>
      <c r="DU178" s="775">
        <f t="shared" si="254"/>
        <v>98.857125407570209</v>
      </c>
      <c r="DV178" s="775">
        <f t="shared" si="255"/>
        <v>4.0255850531708202</v>
      </c>
      <c r="DW178" s="775">
        <f t="shared" si="256"/>
        <v>16.122467585709806</v>
      </c>
      <c r="DX178" s="775">
        <f t="shared" si="257"/>
        <v>7.3283943571408203</v>
      </c>
      <c r="DY178" s="775">
        <f t="shared" si="258"/>
        <v>34.702224031127159</v>
      </c>
      <c r="DZ178" s="775">
        <f t="shared" si="259"/>
        <v>39.360002942089125</v>
      </c>
      <c r="EA178" s="775"/>
      <c r="EB178" s="775"/>
      <c r="EC178" s="775"/>
      <c r="ED178" s="775"/>
      <c r="EE178" s="775"/>
      <c r="EF178" s="775" t="b">
        <f t="shared" si="306"/>
        <v>0</v>
      </c>
      <c r="EG178" s="775">
        <f t="shared" si="260"/>
        <v>14.660746242248557</v>
      </c>
      <c r="EH178" s="775">
        <v>38</v>
      </c>
      <c r="EI178" s="775">
        <f t="shared" si="311"/>
        <v>19</v>
      </c>
      <c r="EJ178" s="673">
        <f t="shared" si="261"/>
        <v>4.3392537577514441</v>
      </c>
      <c r="EK178" s="673">
        <f t="shared" si="262"/>
        <v>2.2510196371999172</v>
      </c>
      <c r="EL178" s="775" t="b">
        <f t="shared" si="263"/>
        <v>0</v>
      </c>
      <c r="EM178" s="673"/>
      <c r="EN178" s="775">
        <f t="shared" si="264"/>
        <v>4.3392537577514441</v>
      </c>
      <c r="EO178" s="775">
        <f t="shared" si="265"/>
        <v>6.7104055573562166E-2</v>
      </c>
      <c r="EP178" s="775">
        <f t="shared" si="266"/>
        <v>4.4881843529631354E-3</v>
      </c>
      <c r="EQ178" s="775">
        <f t="shared" si="267"/>
        <v>5.0043553719282103</v>
      </c>
      <c r="ER178" s="775">
        <f t="shared" si="268"/>
        <v>2.5393558033222523</v>
      </c>
      <c r="ES178" s="775">
        <f t="shared" si="269"/>
        <v>3.9295498588298035</v>
      </c>
      <c r="ET178" s="775">
        <f t="shared" si="270"/>
        <v>7.7270251150624052</v>
      </c>
      <c r="EU178" s="775">
        <f t="shared" si="271"/>
        <v>2.2861359477078054</v>
      </c>
      <c r="EV178" s="775">
        <f t="shared" si="272"/>
        <v>3.259981084093972</v>
      </c>
      <c r="EW178" s="775">
        <f t="shared" si="273"/>
        <v>83.880069466952705</v>
      </c>
      <c r="EX178" s="775">
        <f t="shared" si="274"/>
        <v>13.597506744769312</v>
      </c>
      <c r="EY178" s="775">
        <f t="shared" si="307"/>
        <v>16.917010310286656</v>
      </c>
      <c r="EZ178" s="775">
        <f t="shared" si="275"/>
        <v>7.6895501410393887</v>
      </c>
      <c r="FA178" s="775">
        <f t="shared" si="276"/>
        <v>4.3392537577514441</v>
      </c>
      <c r="FB178" s="775">
        <f t="shared" si="277"/>
        <v>3.4268705535748354</v>
      </c>
      <c r="FC178" s="775"/>
      <c r="FD178" s="775"/>
      <c r="FE178" s="775"/>
      <c r="FF178" s="775"/>
      <c r="FG178" s="775"/>
      <c r="FH178" s="775"/>
      <c r="FI178" s="775"/>
      <c r="FJ178" s="775"/>
      <c r="FK178" s="775" t="b">
        <f t="shared" si="308"/>
        <v>0</v>
      </c>
      <c r="FL178" s="775">
        <f t="shared" si="278"/>
        <v>8.3600029420891246</v>
      </c>
      <c r="FM178" s="775">
        <v>38</v>
      </c>
      <c r="FN178" s="775">
        <f t="shared" si="309"/>
        <v>31</v>
      </c>
      <c r="FO178" s="673">
        <f t="shared" si="312"/>
        <v>39.360002942089125</v>
      </c>
      <c r="FP178" s="673">
        <f t="shared" si="280"/>
        <v>24.403675819467587</v>
      </c>
      <c r="FQ178" s="775" t="b">
        <f t="shared" si="281"/>
        <v>0</v>
      </c>
      <c r="FR178" s="673"/>
      <c r="FS178" s="775">
        <f t="shared" si="282"/>
        <v>39.360002942089125</v>
      </c>
      <c r="FT178" s="775">
        <f t="shared" si="283"/>
        <v>7.0411057982599862E-2</v>
      </c>
      <c r="FU178" s="775">
        <f t="shared" si="284"/>
        <v>8.2944602263309904E-3</v>
      </c>
      <c r="FV178" s="775">
        <f t="shared" si="285"/>
        <v>1.6789574478897222</v>
      </c>
      <c r="FW178" s="775">
        <f t="shared" si="286"/>
        <v>0.88682186197488044</v>
      </c>
      <c r="FX178" s="775">
        <f t="shared" si="287"/>
        <v>47.374542573994383</v>
      </c>
      <c r="FY178" s="775">
        <f t="shared" si="288"/>
        <v>80.864557599085288</v>
      </c>
      <c r="FZ178" s="775">
        <f t="shared" si="289"/>
        <v>29.245918495617552</v>
      </c>
      <c r="GA178" s="775">
        <f t="shared" si="290"/>
        <v>44.859430315873972</v>
      </c>
      <c r="GB178" s="775">
        <f t="shared" si="291"/>
        <v>98.857125407570209</v>
      </c>
      <c r="GC178" s="775">
        <f t="shared" si="292"/>
        <v>4.0255850531708202</v>
      </c>
      <c r="GD178" s="775">
        <f t="shared" si="293"/>
        <v>5.8733247361402414</v>
      </c>
      <c r="GE178" s="775">
        <f t="shared" si="294"/>
        <v>2.6696930618819277</v>
      </c>
      <c r="GF178" s="775">
        <f t="shared" si="295"/>
        <v>40.694157203732985</v>
      </c>
      <c r="GG178" s="775">
        <f t="shared" si="296"/>
        <v>39.360002942089125</v>
      </c>
    </row>
    <row r="179" spans="70:189">
      <c r="BR179" s="775"/>
      <c r="BS179" s="775"/>
      <c r="BT179" s="775"/>
      <c r="BU179" s="775"/>
      <c r="BV179" s="775"/>
      <c r="BW179" s="775"/>
      <c r="BX179" s="775"/>
      <c r="BY179" s="775" t="b">
        <f t="shared" si="297"/>
        <v>0</v>
      </c>
      <c r="BZ179" s="775">
        <f t="shared" si="229"/>
        <v>15.126896054853782</v>
      </c>
      <c r="CA179" s="775">
        <v>39</v>
      </c>
      <c r="CB179" s="775">
        <f t="shared" si="310"/>
        <v>19.5</v>
      </c>
      <c r="CC179" s="673">
        <f t="shared" si="230"/>
        <v>4.3731039451462177</v>
      </c>
      <c r="CD179" s="91">
        <f t="shared" si="228"/>
        <v>2</v>
      </c>
      <c r="CE179" s="775" t="b">
        <f t="shared" si="231"/>
        <v>0</v>
      </c>
      <c r="CF179" s="673"/>
      <c r="CG179" s="775">
        <f t="shared" si="232"/>
        <v>4.3731039451462177</v>
      </c>
      <c r="CH179" s="775">
        <f t="shared" si="233"/>
        <v>6.5417414921183845E-2</v>
      </c>
      <c r="CI179" s="775">
        <f t="shared" si="234"/>
        <v>4.375375162514468E-3</v>
      </c>
      <c r="CJ179" s="775">
        <f t="shared" si="235"/>
        <v>5.0174536911961773</v>
      </c>
      <c r="CK179" s="775">
        <f t="shared" si="236"/>
        <v>2.5426785360064468</v>
      </c>
      <c r="CL179" s="775">
        <f t="shared" si="237"/>
        <v>3.9546372345029304</v>
      </c>
      <c r="CM179" s="775">
        <f t="shared" si="238"/>
        <v>7.7763566641867081</v>
      </c>
      <c r="CN179" s="775">
        <f t="shared" si="239"/>
        <v>2.2939100728132735</v>
      </c>
      <c r="CO179" s="775">
        <f t="shared" si="240"/>
        <v>3.2707367946725241</v>
      </c>
      <c r="CP179" s="775">
        <f t="shared" si="241"/>
        <v>81.771768651479803</v>
      </c>
      <c r="CQ179" s="775">
        <f t="shared" si="242"/>
        <v>13.255737421727801</v>
      </c>
      <c r="CR179" s="775">
        <f t="shared" si="298"/>
        <v>17.353177305580029</v>
      </c>
      <c r="CS179" s="775">
        <f t="shared" si="243"/>
        <v>7.8878078661727402</v>
      </c>
      <c r="CT179" s="775">
        <f t="shared" si="244"/>
        <v>4.3731039451462177</v>
      </c>
      <c r="CU179" s="775">
        <f t="shared" si="245"/>
        <v>3.4416642670961926</v>
      </c>
      <c r="CV179" s="775"/>
      <c r="CW179" s="775"/>
      <c r="CX179" s="775"/>
      <c r="CY179" s="775"/>
      <c r="CZ179" s="775"/>
      <c r="DA179" s="775"/>
      <c r="DB179" s="775"/>
      <c r="DC179" s="775"/>
      <c r="DD179" s="775" t="b">
        <f t="shared" si="299"/>
        <v>0</v>
      </c>
      <c r="DE179" s="775">
        <f t="shared" si="300"/>
        <v>4.1214506848229604</v>
      </c>
      <c r="DF179" s="776">
        <v>40</v>
      </c>
      <c r="DG179" s="775">
        <f t="shared" si="301"/>
        <v>30.5</v>
      </c>
      <c r="DH179" s="673">
        <f t="shared" si="302"/>
        <v>34.62145068482296</v>
      </c>
      <c r="DI179" s="673">
        <f t="shared" si="246"/>
        <v>19</v>
      </c>
      <c r="DJ179" s="775" t="b">
        <f t="shared" si="247"/>
        <v>0</v>
      </c>
      <c r="DK179" s="673"/>
      <c r="DL179" s="775">
        <f t="shared" si="303"/>
        <v>34.62145068482296</v>
      </c>
      <c r="DM179" s="775">
        <f t="shared" si="304"/>
        <v>7.1399123319573987E-2</v>
      </c>
      <c r="DN179" s="775">
        <f t="shared" si="305"/>
        <v>8.4108548506039767E-3</v>
      </c>
      <c r="DO179" s="775">
        <f t="shared" si="248"/>
        <v>1.6750085780500863</v>
      </c>
      <c r="DP179" s="775">
        <f t="shared" si="249"/>
        <v>0.8857257376541221</v>
      </c>
      <c r="DQ179" s="775">
        <f t="shared" si="250"/>
        <v>36.756180971005485</v>
      </c>
      <c r="DR179" s="775">
        <f t="shared" si="251"/>
        <v>62.739863052184148</v>
      </c>
      <c r="DS179" s="775">
        <f t="shared" si="252"/>
        <v>29.161311630711779</v>
      </c>
      <c r="DT179" s="775">
        <f t="shared" si="253"/>
        <v>44.739592520747976</v>
      </c>
      <c r="DU179" s="775">
        <f t="shared" si="254"/>
        <v>100.24436914068188</v>
      </c>
      <c r="DV179" s="775">
        <f t="shared" si="255"/>
        <v>4.0820753427083272</v>
      </c>
      <c r="DW179" s="775">
        <f t="shared" si="256"/>
        <v>15.89935488309821</v>
      </c>
      <c r="DX179" s="775">
        <f t="shared" si="257"/>
        <v>7.2269794923173674</v>
      </c>
      <c r="DY179" s="775">
        <f t="shared" si="258"/>
        <v>34.62145068482296</v>
      </c>
      <c r="DZ179" s="775">
        <f t="shared" si="259"/>
        <v>39.294934571222768</v>
      </c>
      <c r="EA179" s="775"/>
      <c r="EB179" s="775"/>
      <c r="EC179" s="775"/>
      <c r="ED179" s="775"/>
      <c r="EE179" s="775"/>
      <c r="EF179" s="775" t="b">
        <f t="shared" si="306"/>
        <v>0</v>
      </c>
      <c r="EG179" s="775">
        <f t="shared" si="260"/>
        <v>15.126896054853782</v>
      </c>
      <c r="EH179" s="775">
        <v>39</v>
      </c>
      <c r="EI179" s="775">
        <f t="shared" si="311"/>
        <v>19.5</v>
      </c>
      <c r="EJ179" s="673">
        <f t="shared" si="261"/>
        <v>4.3731039451462177</v>
      </c>
      <c r="EK179" s="673">
        <f t="shared" si="262"/>
        <v>2.2510196371999172</v>
      </c>
      <c r="EL179" s="775" t="b">
        <f t="shared" si="263"/>
        <v>0</v>
      </c>
      <c r="EM179" s="673"/>
      <c r="EN179" s="775">
        <f t="shared" si="264"/>
        <v>4.3731039451462177</v>
      </c>
      <c r="EO179" s="775">
        <f t="shared" si="265"/>
        <v>6.5417414921183845E-2</v>
      </c>
      <c r="EP179" s="775">
        <f t="shared" si="266"/>
        <v>4.375375162514468E-3</v>
      </c>
      <c r="EQ179" s="775">
        <f t="shared" si="267"/>
        <v>5.0174536911961773</v>
      </c>
      <c r="ER179" s="775">
        <f t="shared" si="268"/>
        <v>2.5426785360064468</v>
      </c>
      <c r="ES179" s="775">
        <f t="shared" si="269"/>
        <v>3.9546372345029304</v>
      </c>
      <c r="ET179" s="775">
        <f t="shared" si="270"/>
        <v>7.7763566641867081</v>
      </c>
      <c r="EU179" s="775">
        <f t="shared" si="271"/>
        <v>2.2939100728132735</v>
      </c>
      <c r="EV179" s="775">
        <f t="shared" si="272"/>
        <v>3.2707367946725241</v>
      </c>
      <c r="EW179" s="775">
        <f t="shared" si="273"/>
        <v>81.771768651479803</v>
      </c>
      <c r="EX179" s="775">
        <f t="shared" si="274"/>
        <v>13.255737421727801</v>
      </c>
      <c r="EY179" s="775">
        <f t="shared" si="307"/>
        <v>17.353177305580029</v>
      </c>
      <c r="EZ179" s="775">
        <f t="shared" si="275"/>
        <v>7.8878078661727402</v>
      </c>
      <c r="FA179" s="775">
        <f t="shared" si="276"/>
        <v>4.3731039451462177</v>
      </c>
      <c r="FB179" s="775">
        <f t="shared" si="277"/>
        <v>3.4416642670961926</v>
      </c>
      <c r="FC179" s="775"/>
      <c r="FD179" s="775"/>
      <c r="FE179" s="775"/>
      <c r="FF179" s="775"/>
      <c r="FG179" s="775"/>
      <c r="FH179" s="775"/>
      <c r="FI179" s="775"/>
      <c r="FJ179" s="775"/>
      <c r="FK179" s="775" t="b">
        <f t="shared" si="308"/>
        <v>0</v>
      </c>
      <c r="FL179" s="775">
        <f t="shared" si="278"/>
        <v>8.7949345712227682</v>
      </c>
      <c r="FM179" s="775">
        <v>39</v>
      </c>
      <c r="FN179" s="775">
        <f t="shared" si="309"/>
        <v>30.5</v>
      </c>
      <c r="FO179" s="673">
        <f t="shared" si="312"/>
        <v>39.294934571222768</v>
      </c>
      <c r="FP179" s="673">
        <f t="shared" si="280"/>
        <v>24.403675819467587</v>
      </c>
      <c r="FQ179" s="775" t="b">
        <f t="shared" si="281"/>
        <v>0</v>
      </c>
      <c r="FR179" s="673"/>
      <c r="FS179" s="775">
        <f t="shared" si="282"/>
        <v>39.294934571222768</v>
      </c>
      <c r="FT179" s="775">
        <f t="shared" si="283"/>
        <v>7.1399123319573987E-2</v>
      </c>
      <c r="FU179" s="775">
        <f t="shared" si="284"/>
        <v>8.4108548506039767E-3</v>
      </c>
      <c r="FV179" s="775">
        <f t="shared" si="285"/>
        <v>1.6750085780500863</v>
      </c>
      <c r="FW179" s="775">
        <f t="shared" si="286"/>
        <v>0.8857257376541221</v>
      </c>
      <c r="FX179" s="775">
        <f t="shared" si="287"/>
        <v>47.209785514636899</v>
      </c>
      <c r="FY179" s="775">
        <f t="shared" si="288"/>
        <v>80.583330467541799</v>
      </c>
      <c r="FZ179" s="775">
        <f t="shared" si="289"/>
        <v>29.161311630711779</v>
      </c>
      <c r="GA179" s="775">
        <f t="shared" si="290"/>
        <v>44.739592520747976</v>
      </c>
      <c r="GB179" s="775">
        <f t="shared" si="291"/>
        <v>100.24436914068188</v>
      </c>
      <c r="GC179" s="775">
        <f t="shared" si="292"/>
        <v>4.0820753427083272</v>
      </c>
      <c r="GD179" s="775">
        <f t="shared" si="293"/>
        <v>5.7920460268961751</v>
      </c>
      <c r="GE179" s="775">
        <f t="shared" si="294"/>
        <v>2.6327481940437156</v>
      </c>
      <c r="GF179" s="775">
        <f t="shared" si="295"/>
        <v>40.608560431852993</v>
      </c>
      <c r="GG179" s="775">
        <f t="shared" si="296"/>
        <v>39.294934571222768</v>
      </c>
    </row>
    <row r="180" spans="70:189">
      <c r="BR180" s="32"/>
      <c r="BS180" s="32"/>
      <c r="BT180" s="32"/>
      <c r="BU180" s="32"/>
      <c r="BV180" s="32"/>
      <c r="BW180" s="32"/>
      <c r="BX180" s="32"/>
      <c r="BY180" s="775" t="b">
        <f t="shared" si="297"/>
        <v>0</v>
      </c>
      <c r="BZ180" s="775">
        <f t="shared" si="229"/>
        <v>15.593718230627037</v>
      </c>
      <c r="CA180" s="775">
        <v>40</v>
      </c>
      <c r="CB180" s="775">
        <f t="shared" si="310"/>
        <v>20</v>
      </c>
      <c r="CC180" s="673">
        <f t="shared" si="230"/>
        <v>4.4062817693729626</v>
      </c>
      <c r="CD180" s="91">
        <f t="shared" si="228"/>
        <v>2</v>
      </c>
      <c r="CE180" s="775" t="b">
        <f t="shared" si="231"/>
        <v>0</v>
      </c>
      <c r="CF180" s="673"/>
      <c r="CG180" s="775">
        <f t="shared" si="232"/>
        <v>4.4062817693729626</v>
      </c>
      <c r="CH180" s="775">
        <f t="shared" si="233"/>
        <v>6.3814284124495788E-2</v>
      </c>
      <c r="CI180" s="775">
        <f t="shared" si="234"/>
        <v>4.2681514411469709E-3</v>
      </c>
      <c r="CJ180" s="775">
        <f t="shared" si="235"/>
        <v>5.0299864377091836</v>
      </c>
      <c r="CK180" s="775">
        <f t="shared" si="236"/>
        <v>2.5458488727903852</v>
      </c>
      <c r="CL180" s="775">
        <f t="shared" si="237"/>
        <v>3.9792435431952113</v>
      </c>
      <c r="CM180" s="775">
        <f t="shared" si="238"/>
        <v>7.8247422483082563</v>
      </c>
      <c r="CN180" s="775">
        <f t="shared" si="239"/>
        <v>2.3015100122352901</v>
      </c>
      <c r="CO180" s="775">
        <f t="shared" si="240"/>
        <v>3.2812521653955828</v>
      </c>
      <c r="CP180" s="775">
        <f t="shared" si="241"/>
        <v>79.767855155619728</v>
      </c>
      <c r="CQ180" s="775">
        <f t="shared" si="242"/>
        <v>12.930889964530271</v>
      </c>
      <c r="CR180" s="775">
        <f t="shared" si="298"/>
        <v>17.789120658085412</v>
      </c>
      <c r="CS180" s="775">
        <f t="shared" si="243"/>
        <v>8.0859639354933694</v>
      </c>
      <c r="CT180" s="775">
        <f t="shared" si="244"/>
        <v>4.4062817693729626</v>
      </c>
      <c r="CU180" s="775">
        <f t="shared" si="245"/>
        <v>3.4561230293141372</v>
      </c>
      <c r="CV180" s="32"/>
      <c r="CW180" s="32"/>
      <c r="CX180" s="32"/>
      <c r="CY180" s="32"/>
      <c r="CZ180" s="32"/>
      <c r="DA180" s="32"/>
      <c r="DB180" s="32"/>
      <c r="DC180" s="32"/>
      <c r="DD180" s="775" t="b">
        <f t="shared" si="299"/>
        <v>0</v>
      </c>
      <c r="DE180" s="775">
        <f t="shared" si="300"/>
        <v>4.5394260973835117</v>
      </c>
      <c r="DF180" s="776">
        <v>41</v>
      </c>
      <c r="DG180" s="775">
        <f t="shared" si="301"/>
        <v>30</v>
      </c>
      <c r="DH180" s="673">
        <f t="shared" si="302"/>
        <v>34.539426097383512</v>
      </c>
      <c r="DI180" s="673">
        <f t="shared" si="246"/>
        <v>19</v>
      </c>
      <c r="DJ180" s="775" t="b">
        <f t="shared" si="247"/>
        <v>0</v>
      </c>
      <c r="DK180" s="673"/>
      <c r="DL180" s="775">
        <f t="shared" si="303"/>
        <v>34.539426097383512</v>
      </c>
      <c r="DM180" s="775">
        <f t="shared" si="304"/>
        <v>7.2417733164011303E-2</v>
      </c>
      <c r="DN180" s="775">
        <f t="shared" si="305"/>
        <v>8.5308476341653654E-3</v>
      </c>
      <c r="DO180" s="775">
        <f t="shared" si="248"/>
        <v>1.6709628168855633</v>
      </c>
      <c r="DP180" s="775">
        <f t="shared" si="249"/>
        <v>0.88459997247714017</v>
      </c>
      <c r="DQ180" s="775">
        <f t="shared" si="250"/>
        <v>36.626242741156446</v>
      </c>
      <c r="DR180" s="775">
        <f t="shared" si="251"/>
        <v>62.518068879595795</v>
      </c>
      <c r="DS180" s="775">
        <f t="shared" si="252"/>
        <v>29.075516732275226</v>
      </c>
      <c r="DT180" s="775">
        <f t="shared" si="253"/>
        <v>44.618032941189689</v>
      </c>
      <c r="DU180" s="775">
        <f t="shared" si="254"/>
        <v>101.67449736227186</v>
      </c>
      <c r="DV180" s="775">
        <f t="shared" si="255"/>
        <v>4.1403119419338754</v>
      </c>
      <c r="DW180" s="775">
        <f t="shared" si="256"/>
        <v>15.675718507081752</v>
      </c>
      <c r="DX180" s="775">
        <f t="shared" si="257"/>
        <v>7.1253265941280688</v>
      </c>
      <c r="DY180" s="775">
        <f t="shared" si="258"/>
        <v>34.539426097383512</v>
      </c>
      <c r="DZ180" s="775">
        <f t="shared" si="259"/>
        <v>39.228788502855842</v>
      </c>
      <c r="EA180" s="32"/>
      <c r="EB180" s="32"/>
      <c r="EC180" s="32"/>
      <c r="ED180" s="32"/>
      <c r="EE180" s="32"/>
      <c r="EF180" s="775" t="b">
        <f t="shared" si="306"/>
        <v>0</v>
      </c>
      <c r="EG180" s="775">
        <f t="shared" si="260"/>
        <v>15.593718230627037</v>
      </c>
      <c r="EH180" s="775">
        <v>40</v>
      </c>
      <c r="EI180" s="775">
        <f t="shared" si="311"/>
        <v>20</v>
      </c>
      <c r="EJ180" s="673">
        <f t="shared" si="261"/>
        <v>4.4062817693729626</v>
      </c>
      <c r="EK180" s="673">
        <f t="shared" si="262"/>
        <v>2.2510196371999172</v>
      </c>
      <c r="EL180" s="775" t="b">
        <f t="shared" si="263"/>
        <v>0</v>
      </c>
      <c r="EM180" s="673"/>
      <c r="EN180" s="775">
        <f t="shared" si="264"/>
        <v>4.4062817693729626</v>
      </c>
      <c r="EO180" s="775">
        <f t="shared" si="265"/>
        <v>6.3814284124495788E-2</v>
      </c>
      <c r="EP180" s="775">
        <f t="shared" si="266"/>
        <v>4.2681514411469709E-3</v>
      </c>
      <c r="EQ180" s="775">
        <f t="shared" si="267"/>
        <v>5.0299864377091836</v>
      </c>
      <c r="ER180" s="775">
        <f t="shared" si="268"/>
        <v>2.5458488727903852</v>
      </c>
      <c r="ES180" s="775">
        <f t="shared" si="269"/>
        <v>3.9792435431952113</v>
      </c>
      <c r="ET180" s="775">
        <f t="shared" si="270"/>
        <v>7.8247422483082563</v>
      </c>
      <c r="EU180" s="775">
        <f t="shared" si="271"/>
        <v>2.3015100122352901</v>
      </c>
      <c r="EV180" s="775">
        <f t="shared" si="272"/>
        <v>3.2812521653955828</v>
      </c>
      <c r="EW180" s="775">
        <f t="shared" si="273"/>
        <v>79.767855155619728</v>
      </c>
      <c r="EX180" s="775">
        <f t="shared" si="274"/>
        <v>12.930889964530271</v>
      </c>
      <c r="EY180" s="775">
        <f t="shared" si="307"/>
        <v>17.789120658085412</v>
      </c>
      <c r="EZ180" s="775">
        <f t="shared" si="275"/>
        <v>8.0859639354933694</v>
      </c>
      <c r="FA180" s="775">
        <f t="shared" si="276"/>
        <v>4.4062817693729626</v>
      </c>
      <c r="FB180" s="775">
        <f t="shared" si="277"/>
        <v>3.4561230293141372</v>
      </c>
      <c r="FC180" s="32"/>
      <c r="FD180" s="32"/>
      <c r="FE180" s="32"/>
      <c r="FF180" s="32"/>
      <c r="FG180" s="32"/>
      <c r="FH180" s="32"/>
      <c r="FI180" s="32"/>
      <c r="FJ180" s="32"/>
      <c r="FK180" s="775" t="b">
        <f t="shared" si="308"/>
        <v>0</v>
      </c>
      <c r="FL180" s="775">
        <f t="shared" si="278"/>
        <v>9.2287885028558421</v>
      </c>
      <c r="FM180" s="775">
        <v>40</v>
      </c>
      <c r="FN180" s="775">
        <f t="shared" si="309"/>
        <v>30</v>
      </c>
      <c r="FO180" s="673">
        <f t="shared" si="312"/>
        <v>39.228788502855842</v>
      </c>
      <c r="FP180" s="673">
        <f t="shared" si="280"/>
        <v>24.403675819467587</v>
      </c>
      <c r="FQ180" s="775" t="b">
        <f t="shared" si="281"/>
        <v>0</v>
      </c>
      <c r="FR180" s="673"/>
      <c r="FS180" s="775">
        <f t="shared" si="282"/>
        <v>39.228788502855842</v>
      </c>
      <c r="FT180" s="775">
        <f t="shared" si="283"/>
        <v>7.2417733164011303E-2</v>
      </c>
      <c r="FU180" s="775">
        <f t="shared" si="284"/>
        <v>8.5308476341653654E-3</v>
      </c>
      <c r="FV180" s="775">
        <f t="shared" si="285"/>
        <v>1.6709628168855633</v>
      </c>
      <c r="FW180" s="775">
        <f t="shared" si="286"/>
        <v>0.88459997247714017</v>
      </c>
      <c r="FX180" s="775">
        <f t="shared" si="287"/>
        <v>47.042892333700507</v>
      </c>
      <c r="FY180" s="775">
        <f t="shared" si="288"/>
        <v>80.298457147200054</v>
      </c>
      <c r="FZ180" s="775">
        <f t="shared" si="289"/>
        <v>29.075516732275226</v>
      </c>
      <c r="GA180" s="775">
        <f t="shared" si="290"/>
        <v>44.618032941189689</v>
      </c>
      <c r="GB180" s="775">
        <f t="shared" si="291"/>
        <v>101.67449736227186</v>
      </c>
      <c r="GC180" s="775">
        <f t="shared" si="292"/>
        <v>4.1403119419338754</v>
      </c>
      <c r="GD180" s="775">
        <f t="shared" si="293"/>
        <v>5.7105765463606746</v>
      </c>
      <c r="GE180" s="775">
        <f t="shared" si="294"/>
        <v>2.5957166119821244</v>
      </c>
      <c r="GF180" s="775">
        <f t="shared" si="295"/>
        <v>40.521601593346823</v>
      </c>
      <c r="GG180" s="775">
        <f t="shared" si="296"/>
        <v>39.228788502855842</v>
      </c>
    </row>
    <row r="181" spans="70:189">
      <c r="BR181" s="775"/>
      <c r="BS181" s="775"/>
      <c r="BT181" s="775"/>
      <c r="BU181" s="775"/>
      <c r="BV181" s="775"/>
      <c r="BW181" s="775"/>
      <c r="BX181" s="775"/>
      <c r="BY181" s="775" t="b">
        <f t="shared" si="297"/>
        <v>0</v>
      </c>
      <c r="BZ181" s="775">
        <f t="shared" si="229"/>
        <v>16.061183225745754</v>
      </c>
      <c r="CA181" s="775">
        <v>41</v>
      </c>
      <c r="CB181" s="775">
        <f t="shared" si="310"/>
        <v>20.5</v>
      </c>
      <c r="CC181" s="673">
        <f t="shared" si="230"/>
        <v>4.4388167742542466</v>
      </c>
      <c r="CD181" s="91">
        <f t="shared" si="228"/>
        <v>2</v>
      </c>
      <c r="CE181" s="775" t="b">
        <f t="shared" si="231"/>
        <v>0</v>
      </c>
      <c r="CF181" s="673"/>
      <c r="CG181" s="775">
        <f t="shared" si="232"/>
        <v>4.4388167742542466</v>
      </c>
      <c r="CH181" s="775">
        <f t="shared" si="233"/>
        <v>6.2288591937096294E-2</v>
      </c>
      <c r="CI181" s="775">
        <f t="shared" si="234"/>
        <v>4.1661071199148823E-3</v>
      </c>
      <c r="CJ181" s="775">
        <f t="shared" si="235"/>
        <v>5.0419896749291677</v>
      </c>
      <c r="CK181" s="775">
        <f t="shared" si="236"/>
        <v>2.5488771074934253</v>
      </c>
      <c r="CL181" s="775">
        <f t="shared" si="237"/>
        <v>4.0033896981367043</v>
      </c>
      <c r="CM181" s="775">
        <f t="shared" si="238"/>
        <v>7.8722229909805668</v>
      </c>
      <c r="CN181" s="775">
        <f t="shared" si="239"/>
        <v>2.3089438847754087</v>
      </c>
      <c r="CO181" s="775">
        <f t="shared" si="240"/>
        <v>3.2915383830965919</v>
      </c>
      <c r="CP181" s="775">
        <f t="shared" si="241"/>
        <v>77.860739921370367</v>
      </c>
      <c r="CQ181" s="775">
        <f t="shared" si="242"/>
        <v>12.621734137340898</v>
      </c>
      <c r="CR181" s="775">
        <f t="shared" si="298"/>
        <v>18.224846070471624</v>
      </c>
      <c r="CS181" s="775">
        <f t="shared" si="243"/>
        <v>8.2840209411234653</v>
      </c>
      <c r="CT181" s="775">
        <f t="shared" si="244"/>
        <v>4.4388167742542466</v>
      </c>
      <c r="CU181" s="775">
        <f t="shared" si="245"/>
        <v>3.4702625143341397</v>
      </c>
      <c r="CV181" s="775"/>
      <c r="CW181" s="775"/>
      <c r="CX181" s="775"/>
      <c r="CY181" s="775"/>
      <c r="CZ181" s="775"/>
      <c r="DA181" s="775"/>
      <c r="DB181" s="775"/>
      <c r="DC181" s="775"/>
      <c r="DD181" s="775" t="b">
        <f t="shared" si="299"/>
        <v>0</v>
      </c>
      <c r="DE181" s="775">
        <f t="shared" si="300"/>
        <v>4.9561100222977856</v>
      </c>
      <c r="DF181" s="776">
        <v>42</v>
      </c>
      <c r="DG181" s="775">
        <f t="shared" si="301"/>
        <v>29.5</v>
      </c>
      <c r="DH181" s="673">
        <f t="shared" si="302"/>
        <v>34.456110022297786</v>
      </c>
      <c r="DI181" s="673">
        <f t="shared" si="246"/>
        <v>19</v>
      </c>
      <c r="DJ181" s="775" t="b">
        <f t="shared" si="247"/>
        <v>0</v>
      </c>
      <c r="DK181" s="673"/>
      <c r="DL181" s="775">
        <f t="shared" si="303"/>
        <v>34.456110022297786</v>
      </c>
      <c r="DM181" s="775">
        <f t="shared" si="304"/>
        <v>7.3468364823587706E-2</v>
      </c>
      <c r="DN181" s="775">
        <f t="shared" si="305"/>
        <v>8.6546126046481864E-3</v>
      </c>
      <c r="DO181" s="775">
        <f t="shared" si="248"/>
        <v>1.6668163825808227</v>
      </c>
      <c r="DP181" s="775">
        <f t="shared" si="249"/>
        <v>0.88344330227716772</v>
      </c>
      <c r="DQ181" s="775">
        <f t="shared" si="250"/>
        <v>36.494591559655561</v>
      </c>
      <c r="DR181" s="775">
        <f t="shared" si="251"/>
        <v>62.293350835451349</v>
      </c>
      <c r="DS181" s="775">
        <f t="shared" si="252"/>
        <v>28.98849708524175</v>
      </c>
      <c r="DT181" s="775">
        <f t="shared" si="253"/>
        <v>44.494697768351308</v>
      </c>
      <c r="DU181" s="775">
        <f t="shared" si="254"/>
        <v>103.14958421231714</v>
      </c>
      <c r="DV181" s="775">
        <f t="shared" si="255"/>
        <v>4.2003793124060529</v>
      </c>
      <c r="DW181" s="775">
        <f t="shared" si="256"/>
        <v>15.451548468866063</v>
      </c>
      <c r="DX181" s="775">
        <f t="shared" si="257"/>
        <v>7.0234311222118464</v>
      </c>
      <c r="DY181" s="775">
        <f t="shared" si="258"/>
        <v>34.456110022297786</v>
      </c>
      <c r="DZ181" s="775">
        <f t="shared" si="259"/>
        <v>39.161528767563993</v>
      </c>
      <c r="EA181" s="775"/>
      <c r="EB181" s="775"/>
      <c r="EC181" s="775"/>
      <c r="ED181" s="775"/>
      <c r="EE181" s="775"/>
      <c r="EF181" s="775" t="b">
        <f t="shared" si="306"/>
        <v>0</v>
      </c>
      <c r="EG181" s="775">
        <f t="shared" si="260"/>
        <v>16.061183225745754</v>
      </c>
      <c r="EH181" s="775">
        <v>41</v>
      </c>
      <c r="EI181" s="775">
        <f t="shared" si="311"/>
        <v>20.5</v>
      </c>
      <c r="EJ181" s="673">
        <f t="shared" si="261"/>
        <v>4.4388167742542466</v>
      </c>
      <c r="EK181" s="673">
        <f t="shared" si="262"/>
        <v>2.2510196371999172</v>
      </c>
      <c r="EL181" s="775" t="b">
        <f t="shared" si="263"/>
        <v>0</v>
      </c>
      <c r="EM181" s="673"/>
      <c r="EN181" s="775">
        <f t="shared" si="264"/>
        <v>4.4388167742542466</v>
      </c>
      <c r="EO181" s="775">
        <f t="shared" si="265"/>
        <v>6.2288591937096294E-2</v>
      </c>
      <c r="EP181" s="775">
        <f t="shared" si="266"/>
        <v>4.1661071199148823E-3</v>
      </c>
      <c r="EQ181" s="775">
        <f t="shared" si="267"/>
        <v>5.0419896749291677</v>
      </c>
      <c r="ER181" s="775">
        <f t="shared" si="268"/>
        <v>2.5488771074934253</v>
      </c>
      <c r="ES181" s="775">
        <f t="shared" si="269"/>
        <v>4.0033896981367043</v>
      </c>
      <c r="ET181" s="775">
        <f t="shared" si="270"/>
        <v>7.8722229909805668</v>
      </c>
      <c r="EU181" s="775">
        <f t="shared" si="271"/>
        <v>2.3089438847754087</v>
      </c>
      <c r="EV181" s="775">
        <f t="shared" si="272"/>
        <v>3.2915383830965919</v>
      </c>
      <c r="EW181" s="775">
        <f t="shared" si="273"/>
        <v>77.860739921370367</v>
      </c>
      <c r="EX181" s="775">
        <f t="shared" si="274"/>
        <v>12.621734137340898</v>
      </c>
      <c r="EY181" s="775">
        <f t="shared" si="307"/>
        <v>18.224846070471624</v>
      </c>
      <c r="EZ181" s="775">
        <f t="shared" si="275"/>
        <v>8.2840209411234653</v>
      </c>
      <c r="FA181" s="775">
        <f t="shared" si="276"/>
        <v>4.4388167742542466</v>
      </c>
      <c r="FB181" s="775">
        <f t="shared" si="277"/>
        <v>3.4702625143341397</v>
      </c>
      <c r="FC181" s="775"/>
      <c r="FD181" s="775"/>
      <c r="FE181" s="775"/>
      <c r="FF181" s="775"/>
      <c r="FG181" s="775"/>
      <c r="FH181" s="775"/>
      <c r="FI181" s="775"/>
      <c r="FJ181" s="775"/>
      <c r="FK181" s="775" t="b">
        <f t="shared" si="308"/>
        <v>0</v>
      </c>
      <c r="FL181" s="775">
        <f t="shared" si="278"/>
        <v>9.6615287675639934</v>
      </c>
      <c r="FM181" s="775">
        <v>41</v>
      </c>
      <c r="FN181" s="775">
        <f t="shared" si="309"/>
        <v>29.5</v>
      </c>
      <c r="FO181" s="673">
        <f t="shared" si="312"/>
        <v>39.161528767563993</v>
      </c>
      <c r="FP181" s="673">
        <f t="shared" si="280"/>
        <v>24.403675819467587</v>
      </c>
      <c r="FQ181" s="775" t="b">
        <f t="shared" si="281"/>
        <v>0</v>
      </c>
      <c r="FR181" s="673"/>
      <c r="FS181" s="775">
        <f t="shared" si="282"/>
        <v>39.161528767563993</v>
      </c>
      <c r="FT181" s="775">
        <f t="shared" si="283"/>
        <v>7.3468364823587706E-2</v>
      </c>
      <c r="FU181" s="775">
        <f t="shared" si="284"/>
        <v>8.6546126046481864E-3</v>
      </c>
      <c r="FV181" s="775">
        <f t="shared" si="285"/>
        <v>1.6668163825808227</v>
      </c>
      <c r="FW181" s="775">
        <f t="shared" si="286"/>
        <v>0.88344330227716772</v>
      </c>
      <c r="FX181" s="775">
        <f t="shared" si="287"/>
        <v>46.873799030826959</v>
      </c>
      <c r="FY181" s="775">
        <f t="shared" si="288"/>
        <v>80.009828394563954</v>
      </c>
      <c r="FZ181" s="775">
        <f t="shared" si="289"/>
        <v>28.98849708524175</v>
      </c>
      <c r="GA181" s="775">
        <f t="shared" si="290"/>
        <v>44.494697768351308</v>
      </c>
      <c r="GB181" s="775">
        <f t="shared" si="291"/>
        <v>103.14958421231714</v>
      </c>
      <c r="GC181" s="775">
        <f t="shared" si="292"/>
        <v>4.2003793124060529</v>
      </c>
      <c r="GD181" s="775">
        <f t="shared" si="293"/>
        <v>5.6289126556718383</v>
      </c>
      <c r="GE181" s="775">
        <f t="shared" si="294"/>
        <v>2.558596661669017</v>
      </c>
      <c r="GF181" s="775">
        <f t="shared" si="295"/>
        <v>40.433236305117227</v>
      </c>
      <c r="GG181" s="775">
        <f t="shared" si="296"/>
        <v>39.161528767563993</v>
      </c>
    </row>
    <row r="182" spans="70:189">
      <c r="BR182" s="775"/>
      <c r="BS182" s="775"/>
      <c r="BT182" s="775"/>
      <c r="BU182" s="775"/>
      <c r="BV182" s="775"/>
      <c r="BW182" s="775"/>
      <c r="BX182" s="775"/>
      <c r="BY182" s="775" t="b">
        <f t="shared" si="297"/>
        <v>0</v>
      </c>
      <c r="BZ182" s="775">
        <f t="shared" si="229"/>
        <v>16.529263475490897</v>
      </c>
      <c r="CA182" s="775">
        <v>42</v>
      </c>
      <c r="CB182" s="775">
        <f t="shared" si="310"/>
        <v>21</v>
      </c>
      <c r="CC182" s="673">
        <f t="shared" si="230"/>
        <v>4.4707365245091042</v>
      </c>
      <c r="CD182" s="91">
        <f t="shared" si="228"/>
        <v>2</v>
      </c>
      <c r="CE182" s="775" t="b">
        <f t="shared" si="231"/>
        <v>0</v>
      </c>
      <c r="CF182" s="673"/>
      <c r="CG182" s="775">
        <f t="shared" si="232"/>
        <v>4.4707365245091042</v>
      </c>
      <c r="CH182" s="775">
        <f t="shared" si="233"/>
        <v>6.0834842575317259E-2</v>
      </c>
      <c r="CI182" s="775">
        <f t="shared" si="234"/>
        <v>4.0688746190936141E-3</v>
      </c>
      <c r="CJ182" s="775">
        <f t="shared" si="235"/>
        <v>5.0534964523890347</v>
      </c>
      <c r="CK182" s="775">
        <f t="shared" si="236"/>
        <v>2.5517726249365862</v>
      </c>
      <c r="CL182" s="775">
        <f t="shared" si="237"/>
        <v>4.0270952197830514</v>
      </c>
      <c r="CM182" s="775">
        <f t="shared" si="238"/>
        <v>7.9188372770203239</v>
      </c>
      <c r="CN182" s="775">
        <f t="shared" si="239"/>
        <v>2.3162192438853406</v>
      </c>
      <c r="CO182" s="775">
        <f t="shared" si="240"/>
        <v>3.3016058563253732</v>
      </c>
      <c r="CP182" s="775">
        <f t="shared" si="241"/>
        <v>76.043553219146574</v>
      </c>
      <c r="CQ182" s="775">
        <f t="shared" si="242"/>
        <v>12.327156312155283</v>
      </c>
      <c r="CR182" s="775">
        <f t="shared" si="298"/>
        <v>18.660358964429847</v>
      </c>
      <c r="CS182" s="775">
        <f t="shared" si="243"/>
        <v>8.4819813474681123</v>
      </c>
      <c r="CT182" s="775">
        <f t="shared" si="244"/>
        <v>4.4707365245091042</v>
      </c>
      <c r="CU182" s="775">
        <f t="shared" si="245"/>
        <v>3.4840973022459591</v>
      </c>
      <c r="CV182" s="775"/>
      <c r="CW182" s="775"/>
      <c r="CX182" s="775"/>
      <c r="CY182" s="775"/>
      <c r="CZ182" s="775"/>
      <c r="DA182" s="775"/>
      <c r="DB182" s="775"/>
      <c r="DC182" s="775"/>
      <c r="DD182" s="775" t="b">
        <f t="shared" si="299"/>
        <v>0</v>
      </c>
      <c r="DE182" s="775">
        <f t="shared" si="300"/>
        <v>5.3714602163282308</v>
      </c>
      <c r="DF182" s="776">
        <v>43</v>
      </c>
      <c r="DG182" s="775">
        <f t="shared" si="301"/>
        <v>29</v>
      </c>
      <c r="DH182" s="673">
        <f t="shared" si="302"/>
        <v>34.371460216328231</v>
      </c>
      <c r="DI182" s="673">
        <f t="shared" si="246"/>
        <v>19</v>
      </c>
      <c r="DJ182" s="775" t="b">
        <f t="shared" si="247"/>
        <v>0</v>
      </c>
      <c r="DK182" s="673"/>
      <c r="DL182" s="775">
        <f t="shared" si="303"/>
        <v>34.371460216328231</v>
      </c>
      <c r="DM182" s="775">
        <f t="shared" si="304"/>
        <v>7.455259372761186E-2</v>
      </c>
      <c r="DN182" s="775">
        <f t="shared" si="305"/>
        <v>8.7823353484661974E-3</v>
      </c>
      <c r="DO182" s="775">
        <f t="shared" si="248"/>
        <v>1.6625652879166481</v>
      </c>
      <c r="DP182" s="775">
        <f t="shared" si="249"/>
        <v>0.88225438839801695</v>
      </c>
      <c r="DQ182" s="775">
        <f t="shared" si="250"/>
        <v>36.361175228911748</v>
      </c>
      <c r="DR182" s="775">
        <f t="shared" si="251"/>
        <v>62.065619822634908</v>
      </c>
      <c r="DS182" s="775">
        <f t="shared" si="252"/>
        <v>28.900214196467868</v>
      </c>
      <c r="DT182" s="775">
        <f t="shared" si="253"/>
        <v>44.369530568375765</v>
      </c>
      <c r="DU182" s="775">
        <f t="shared" si="254"/>
        <v>104.67184159356705</v>
      </c>
      <c r="DV182" s="775">
        <f t="shared" si="255"/>
        <v>4.2623675255548177</v>
      </c>
      <c r="DW182" s="775">
        <f t="shared" si="256"/>
        <v>15.226834416353228</v>
      </c>
      <c r="DX182" s="775">
        <f t="shared" si="257"/>
        <v>6.9212883710696484</v>
      </c>
      <c r="DY182" s="775">
        <f t="shared" si="258"/>
        <v>34.371460216328231</v>
      </c>
      <c r="DZ182" s="775">
        <f t="shared" si="259"/>
        <v>39.093117565716241</v>
      </c>
      <c r="EA182" s="775"/>
      <c r="EB182" s="775"/>
      <c r="EC182" s="775"/>
      <c r="ED182" s="775"/>
      <c r="EE182" s="775"/>
      <c r="EF182" s="775" t="b">
        <f t="shared" si="306"/>
        <v>0</v>
      </c>
      <c r="EG182" s="775">
        <f t="shared" si="260"/>
        <v>16.529263475490897</v>
      </c>
      <c r="EH182" s="775">
        <v>42</v>
      </c>
      <c r="EI182" s="775">
        <f t="shared" si="311"/>
        <v>21</v>
      </c>
      <c r="EJ182" s="673">
        <f t="shared" si="261"/>
        <v>4.4707365245091042</v>
      </c>
      <c r="EK182" s="673">
        <f t="shared" si="262"/>
        <v>2.2510196371999172</v>
      </c>
      <c r="EL182" s="775" t="b">
        <f t="shared" si="263"/>
        <v>0</v>
      </c>
      <c r="EM182" s="673"/>
      <c r="EN182" s="775">
        <f t="shared" si="264"/>
        <v>4.4707365245091042</v>
      </c>
      <c r="EO182" s="775">
        <f t="shared" si="265"/>
        <v>6.0834842575317259E-2</v>
      </c>
      <c r="EP182" s="775">
        <f t="shared" si="266"/>
        <v>4.0688746190936141E-3</v>
      </c>
      <c r="EQ182" s="775">
        <f t="shared" si="267"/>
        <v>5.0534964523890347</v>
      </c>
      <c r="ER182" s="775">
        <f t="shared" si="268"/>
        <v>2.5517726249365862</v>
      </c>
      <c r="ES182" s="775">
        <f t="shared" si="269"/>
        <v>4.0270952197830514</v>
      </c>
      <c r="ET182" s="775">
        <f t="shared" si="270"/>
        <v>7.9188372770203239</v>
      </c>
      <c r="EU182" s="775">
        <f t="shared" si="271"/>
        <v>2.3162192438853406</v>
      </c>
      <c r="EV182" s="775">
        <f t="shared" si="272"/>
        <v>3.3016058563253732</v>
      </c>
      <c r="EW182" s="775">
        <f t="shared" si="273"/>
        <v>76.043553219146574</v>
      </c>
      <c r="EX182" s="775">
        <f t="shared" si="274"/>
        <v>12.327156312155283</v>
      </c>
      <c r="EY182" s="775">
        <f t="shared" si="307"/>
        <v>18.660358964429847</v>
      </c>
      <c r="EZ182" s="775">
        <f t="shared" si="275"/>
        <v>8.4819813474681123</v>
      </c>
      <c r="FA182" s="775">
        <f t="shared" si="276"/>
        <v>4.4707365245091042</v>
      </c>
      <c r="FB182" s="775">
        <f t="shared" si="277"/>
        <v>3.4840973022459591</v>
      </c>
      <c r="FC182" s="775"/>
      <c r="FD182" s="775"/>
      <c r="FE182" s="775"/>
      <c r="FF182" s="775"/>
      <c r="FG182" s="775"/>
      <c r="FH182" s="775"/>
      <c r="FI182" s="775"/>
      <c r="FJ182" s="775"/>
      <c r="FK182" s="775" t="b">
        <f t="shared" si="308"/>
        <v>0</v>
      </c>
      <c r="FL182" s="775">
        <f t="shared" si="278"/>
        <v>10.093117565716241</v>
      </c>
      <c r="FM182" s="775">
        <v>42</v>
      </c>
      <c r="FN182" s="775">
        <f t="shared" si="309"/>
        <v>29</v>
      </c>
      <c r="FO182" s="673">
        <f t="shared" si="312"/>
        <v>39.093117565716241</v>
      </c>
      <c r="FP182" s="673">
        <f t="shared" si="280"/>
        <v>24.403675819467587</v>
      </c>
      <c r="FQ182" s="775" t="b">
        <f t="shared" si="281"/>
        <v>0</v>
      </c>
      <c r="FR182" s="673"/>
      <c r="FS182" s="775">
        <f t="shared" si="282"/>
        <v>39.093117565716241</v>
      </c>
      <c r="FT182" s="775">
        <f t="shared" si="283"/>
        <v>7.455259372761186E-2</v>
      </c>
      <c r="FU182" s="775">
        <f t="shared" si="284"/>
        <v>8.7823353484661974E-3</v>
      </c>
      <c r="FV182" s="775">
        <f t="shared" si="285"/>
        <v>1.6625652879166481</v>
      </c>
      <c r="FW182" s="775">
        <f t="shared" si="286"/>
        <v>0.88225438839801695</v>
      </c>
      <c r="FX182" s="775">
        <f t="shared" si="287"/>
        <v>46.702438563221968</v>
      </c>
      <c r="FY182" s="775">
        <f t="shared" si="288"/>
        <v>79.717329772942293</v>
      </c>
      <c r="FZ182" s="775">
        <f t="shared" si="289"/>
        <v>28.900214196467868</v>
      </c>
      <c r="GA182" s="775">
        <f t="shared" si="290"/>
        <v>44.369530568375765</v>
      </c>
      <c r="GB182" s="775">
        <f t="shared" si="291"/>
        <v>104.67184159356705</v>
      </c>
      <c r="GC182" s="775">
        <f t="shared" si="292"/>
        <v>4.2623675255548177</v>
      </c>
      <c r="GD182" s="775">
        <f t="shared" si="293"/>
        <v>5.5470505836183159</v>
      </c>
      <c r="GE182" s="775">
        <f t="shared" si="294"/>
        <v>2.5213866289174161</v>
      </c>
      <c r="GF182" s="775">
        <f t="shared" si="295"/>
        <v>40.343417963648562</v>
      </c>
      <c r="GG182" s="775">
        <f t="shared" si="296"/>
        <v>39.093117565716241</v>
      </c>
    </row>
    <row r="183" spans="70:189">
      <c r="BR183" s="775"/>
      <c r="BS183" s="775"/>
      <c r="BT183" s="775"/>
      <c r="BU183" s="775"/>
      <c r="BV183" s="775"/>
      <c r="BW183" s="775"/>
      <c r="BX183" s="775"/>
      <c r="BY183" s="775" t="b">
        <f t="shared" si="297"/>
        <v>0</v>
      </c>
      <c r="BZ183" s="775">
        <f t="shared" si="229"/>
        <v>16.997933218147807</v>
      </c>
      <c r="CA183" s="775">
        <v>43</v>
      </c>
      <c r="CB183" s="775">
        <f t="shared" si="310"/>
        <v>21.5</v>
      </c>
      <c r="CC183" s="673">
        <f t="shared" si="230"/>
        <v>4.5020667818521938</v>
      </c>
      <c r="CD183" s="91">
        <f t="shared" si="228"/>
        <v>2</v>
      </c>
      <c r="CE183" s="775" t="b">
        <f t="shared" si="231"/>
        <v>0</v>
      </c>
      <c r="CF183" s="673"/>
      <c r="CG183" s="775">
        <f t="shared" si="232"/>
        <v>4.5020667818521938</v>
      </c>
      <c r="CH183" s="775">
        <f t="shared" si="233"/>
        <v>5.9448049055725052E-2</v>
      </c>
      <c r="CI183" s="775">
        <f t="shared" si="234"/>
        <v>3.9761203895284395E-3</v>
      </c>
      <c r="CJ183" s="775">
        <f t="shared" si="235"/>
        <v>5.0645371150545779</v>
      </c>
      <c r="CK183" s="775">
        <f t="shared" si="236"/>
        <v>2.5545439992919703</v>
      </c>
      <c r="CL183" s="775">
        <f t="shared" si="237"/>
        <v>4.0503783592624343</v>
      </c>
      <c r="CM183" s="775">
        <f t="shared" si="238"/>
        <v>7.9646209952521776</v>
      </c>
      <c r="CN183" s="775">
        <f t="shared" si="239"/>
        <v>2.3233431294370068</v>
      </c>
      <c r="CO183" s="775">
        <f t="shared" si="240"/>
        <v>3.3114642865692225</v>
      </c>
      <c r="CP183" s="775">
        <f t="shared" si="241"/>
        <v>74.310061319656313</v>
      </c>
      <c r="CQ183" s="775">
        <f t="shared" si="242"/>
        <v>12.046145960767719</v>
      </c>
      <c r="CR183" s="775">
        <f t="shared" si="298"/>
        <v>19.095664500880307</v>
      </c>
      <c r="CS183" s="775">
        <f t="shared" si="243"/>
        <v>8.6798475004001396</v>
      </c>
      <c r="CT183" s="775">
        <f t="shared" si="244"/>
        <v>4.5020667818521938</v>
      </c>
      <c r="CU183" s="775">
        <f t="shared" si="245"/>
        <v>3.4976409794673704</v>
      </c>
      <c r="CV183" s="775"/>
      <c r="CW183" s="775"/>
      <c r="CX183" s="775"/>
      <c r="CY183" s="775"/>
      <c r="CZ183" s="775"/>
      <c r="DA183" s="775"/>
      <c r="DB183" s="775"/>
      <c r="DC183" s="775"/>
      <c r="DD183" s="775" t="b">
        <f t="shared" si="299"/>
        <v>0</v>
      </c>
      <c r="DE183" s="775">
        <f t="shared" si="300"/>
        <v>5.7854323042661306</v>
      </c>
      <c r="DF183" s="776">
        <v>44</v>
      </c>
      <c r="DG183" s="775">
        <f t="shared" si="301"/>
        <v>28.5</v>
      </c>
      <c r="DH183" s="673">
        <f t="shared" si="302"/>
        <v>34.285432304266131</v>
      </c>
      <c r="DI183" s="673">
        <f t="shared" si="246"/>
        <v>19</v>
      </c>
      <c r="DJ183" s="775" t="b">
        <f t="shared" si="247"/>
        <v>0</v>
      </c>
      <c r="DK183" s="673"/>
      <c r="DL183" s="775">
        <f t="shared" si="303"/>
        <v>34.285432304266131</v>
      </c>
      <c r="DM183" s="775">
        <f t="shared" si="304"/>
        <v>7.5672101777717965E-2</v>
      </c>
      <c r="DN183" s="775">
        <f t="shared" si="305"/>
        <v>8.9142139945299608E-3</v>
      </c>
      <c r="DO183" s="775">
        <f t="shared" si="248"/>
        <v>1.6582053258128722</v>
      </c>
      <c r="DP183" s="775">
        <f t="shared" si="249"/>
        <v>0.88103181204239001</v>
      </c>
      <c r="DQ183" s="775">
        <f t="shared" si="250"/>
        <v>36.225939026892121</v>
      </c>
      <c r="DR183" s="775">
        <f t="shared" si="251"/>
        <v>61.834782435010169</v>
      </c>
      <c r="DS183" s="775">
        <f t="shared" si="252"/>
        <v>28.810627676328764</v>
      </c>
      <c r="DT183" s="775">
        <f t="shared" si="253"/>
        <v>44.242472106648826</v>
      </c>
      <c r="DU183" s="775">
        <f t="shared" si="254"/>
        <v>106.24363089591603</v>
      </c>
      <c r="DV183" s="775">
        <f t="shared" si="255"/>
        <v>4.326372740112526</v>
      </c>
      <c r="DW183" s="775">
        <f t="shared" si="256"/>
        <v>15.00156561442655</v>
      </c>
      <c r="DX183" s="775">
        <f t="shared" si="257"/>
        <v>6.8188934611029763</v>
      </c>
      <c r="DY183" s="775">
        <f t="shared" si="258"/>
        <v>34.285432304266131</v>
      </c>
      <c r="DZ183" s="775">
        <f t="shared" si="259"/>
        <v>39.023515141109563</v>
      </c>
      <c r="EA183" s="775"/>
      <c r="EB183" s="775"/>
      <c r="EC183" s="775"/>
      <c r="ED183" s="775"/>
      <c r="EE183" s="775"/>
      <c r="EF183" s="775" t="b">
        <f t="shared" si="306"/>
        <v>0</v>
      </c>
      <c r="EG183" s="775">
        <f t="shared" si="260"/>
        <v>16.997933218147807</v>
      </c>
      <c r="EH183" s="775">
        <v>43</v>
      </c>
      <c r="EI183" s="775">
        <f t="shared" si="311"/>
        <v>21.5</v>
      </c>
      <c r="EJ183" s="673">
        <f t="shared" si="261"/>
        <v>4.5020667818521938</v>
      </c>
      <c r="EK183" s="673">
        <f t="shared" si="262"/>
        <v>2.2510196371999172</v>
      </c>
      <c r="EL183" s="775" t="b">
        <f t="shared" si="263"/>
        <v>0</v>
      </c>
      <c r="EM183" s="673"/>
      <c r="EN183" s="775">
        <f t="shared" si="264"/>
        <v>4.5020667818521938</v>
      </c>
      <c r="EO183" s="775">
        <f t="shared" si="265"/>
        <v>5.9448049055725052E-2</v>
      </c>
      <c r="EP183" s="775">
        <f t="shared" si="266"/>
        <v>3.9761203895284395E-3</v>
      </c>
      <c r="EQ183" s="775">
        <f t="shared" si="267"/>
        <v>5.0645371150545779</v>
      </c>
      <c r="ER183" s="775">
        <f t="shared" si="268"/>
        <v>2.5545439992919703</v>
      </c>
      <c r="ES183" s="775">
        <f t="shared" si="269"/>
        <v>4.0503783592624343</v>
      </c>
      <c r="ET183" s="775">
        <f t="shared" si="270"/>
        <v>7.9646209952521776</v>
      </c>
      <c r="EU183" s="775">
        <f t="shared" si="271"/>
        <v>2.3233431294370068</v>
      </c>
      <c r="EV183" s="775">
        <f t="shared" si="272"/>
        <v>3.3114642865692225</v>
      </c>
      <c r="EW183" s="775">
        <f t="shared" si="273"/>
        <v>74.310061319656313</v>
      </c>
      <c r="EX183" s="775">
        <f t="shared" si="274"/>
        <v>12.046145960767719</v>
      </c>
      <c r="EY183" s="775">
        <f t="shared" si="307"/>
        <v>19.095664500880307</v>
      </c>
      <c r="EZ183" s="775">
        <f t="shared" si="275"/>
        <v>8.6798475004001396</v>
      </c>
      <c r="FA183" s="775">
        <f t="shared" si="276"/>
        <v>4.5020667818521938</v>
      </c>
      <c r="FB183" s="775">
        <f t="shared" si="277"/>
        <v>3.4976409794673704</v>
      </c>
      <c r="FC183" s="775"/>
      <c r="FD183" s="775"/>
      <c r="FE183" s="775"/>
      <c r="FF183" s="775"/>
      <c r="FG183" s="775"/>
      <c r="FH183" s="775"/>
      <c r="FI183" s="775"/>
      <c r="FJ183" s="775"/>
      <c r="FK183" s="775" t="b">
        <f t="shared" si="308"/>
        <v>0</v>
      </c>
      <c r="FL183" s="775">
        <f t="shared" si="278"/>
        <v>10.523515141109563</v>
      </c>
      <c r="FM183" s="775">
        <v>43</v>
      </c>
      <c r="FN183" s="775">
        <f t="shared" si="309"/>
        <v>28.5</v>
      </c>
      <c r="FO183" s="673">
        <f t="shared" si="312"/>
        <v>39.023515141109563</v>
      </c>
      <c r="FP183" s="673">
        <f t="shared" si="280"/>
        <v>24.403675819467587</v>
      </c>
      <c r="FQ183" s="775" t="b">
        <f t="shared" si="281"/>
        <v>0</v>
      </c>
      <c r="FR183" s="673"/>
      <c r="FS183" s="775">
        <f t="shared" si="282"/>
        <v>39.023515141109563</v>
      </c>
      <c r="FT183" s="775">
        <f t="shared" si="283"/>
        <v>7.5672101777717965E-2</v>
      </c>
      <c r="FU183" s="775">
        <f t="shared" si="284"/>
        <v>8.9142139945299608E-3</v>
      </c>
      <c r="FV183" s="775">
        <f t="shared" si="285"/>
        <v>1.6582053258128722</v>
      </c>
      <c r="FW183" s="775">
        <f t="shared" si="286"/>
        <v>0.88103181204239001</v>
      </c>
      <c r="FX183" s="775">
        <f t="shared" si="287"/>
        <v>46.528740645688131</v>
      </c>
      <c r="FY183" s="775">
        <f t="shared" si="288"/>
        <v>79.420841311120881</v>
      </c>
      <c r="FZ183" s="775">
        <f t="shared" si="289"/>
        <v>28.810627676328764</v>
      </c>
      <c r="GA183" s="775">
        <f t="shared" si="290"/>
        <v>44.242472106648826</v>
      </c>
      <c r="GB183" s="775">
        <f t="shared" si="291"/>
        <v>106.24363089591603</v>
      </c>
      <c r="GC183" s="775">
        <f t="shared" si="292"/>
        <v>4.326372740112526</v>
      </c>
      <c r="GD183" s="775">
        <f t="shared" si="293"/>
        <v>5.4649864194571576</v>
      </c>
      <c r="GE183" s="775">
        <f t="shared" si="294"/>
        <v>2.4840847361168894</v>
      </c>
      <c r="GF183" s="775">
        <f t="shared" si="295"/>
        <v>40.252097593689996</v>
      </c>
      <c r="GG183" s="775">
        <f t="shared" si="296"/>
        <v>39.023515141109563</v>
      </c>
    </row>
    <row r="184" spans="70:189">
      <c r="BR184" s="775"/>
      <c r="BS184" s="775"/>
      <c r="BT184" s="775"/>
      <c r="BU184" s="775"/>
      <c r="BV184" s="775"/>
      <c r="BW184" s="775"/>
      <c r="BX184" s="775"/>
      <c r="BY184" s="775" t="b">
        <f t="shared" si="297"/>
        <v>0</v>
      </c>
      <c r="BZ184" s="775">
        <f t="shared" si="229"/>
        <v>17.467168338272508</v>
      </c>
      <c r="CA184" s="775">
        <v>44</v>
      </c>
      <c r="CB184" s="775">
        <f t="shared" si="310"/>
        <v>22</v>
      </c>
      <c r="CC184" s="673">
        <f t="shared" si="230"/>
        <v>4.5328316617274913</v>
      </c>
      <c r="CD184" s="91">
        <f t="shared" si="228"/>
        <v>2</v>
      </c>
      <c r="CE184" s="775" t="b">
        <f t="shared" si="231"/>
        <v>0</v>
      </c>
      <c r="CF184" s="673"/>
      <c r="CG184" s="775">
        <f t="shared" si="232"/>
        <v>4.5328316617274913</v>
      </c>
      <c r="CH184" s="775">
        <f t="shared" si="233"/>
        <v>5.8123675594779108E-2</v>
      </c>
      <c r="CI184" s="775">
        <f t="shared" si="234"/>
        <v>3.8875410600960909E-3</v>
      </c>
      <c r="CJ184" s="775">
        <f t="shared" si="235"/>
        <v>5.075139575248472</v>
      </c>
      <c r="CK184" s="775">
        <f t="shared" si="236"/>
        <v>2.5571990799154092</v>
      </c>
      <c r="CL184" s="775">
        <f t="shared" si="237"/>
        <v>4.0732562082858337</v>
      </c>
      <c r="CM184" s="775">
        <f t="shared" si="238"/>
        <v>8.0096077546351108</v>
      </c>
      <c r="CN184" s="775">
        <f t="shared" si="239"/>
        <v>2.330322113668549</v>
      </c>
      <c r="CO184" s="775">
        <f t="shared" si="240"/>
        <v>3.3211227314659384</v>
      </c>
      <c r="CP184" s="775">
        <f t="shared" si="241"/>
        <v>72.65459449347388</v>
      </c>
      <c r="CQ184" s="775">
        <f t="shared" si="242"/>
        <v>11.777783983032039</v>
      </c>
      <c r="CR184" s="775">
        <f t="shared" si="298"/>
        <v>19.530767598289465</v>
      </c>
      <c r="CS184" s="775">
        <f t="shared" si="243"/>
        <v>8.8776216355861202</v>
      </c>
      <c r="CT184" s="775">
        <f t="shared" si="244"/>
        <v>4.5328316617274913</v>
      </c>
      <c r="CU184" s="775">
        <f t="shared" si="245"/>
        <v>3.5109062277854854</v>
      </c>
      <c r="CV184" s="775"/>
      <c r="CW184" s="775"/>
      <c r="CX184" s="775"/>
      <c r="CY184" s="775"/>
      <c r="CZ184" s="775"/>
      <c r="DA184" s="775"/>
      <c r="DB184" s="775"/>
      <c r="DC184" s="775"/>
      <c r="DD184" s="775" t="b">
        <f t="shared" si="299"/>
        <v>0</v>
      </c>
      <c r="DE184" s="775">
        <f t="shared" si="300"/>
        <v>6.1979796319847651</v>
      </c>
      <c r="DF184" s="776">
        <v>45</v>
      </c>
      <c r="DG184" s="775">
        <f t="shared" si="301"/>
        <v>28</v>
      </c>
      <c r="DH184" s="673">
        <f t="shared" si="302"/>
        <v>34.197979631984765</v>
      </c>
      <c r="DI184" s="673">
        <f t="shared" si="246"/>
        <v>19</v>
      </c>
      <c r="DJ184" s="775" t="b">
        <f t="shared" si="247"/>
        <v>0</v>
      </c>
      <c r="DK184" s="673"/>
      <c r="DL184" s="775">
        <f t="shared" si="303"/>
        <v>34.197979631984765</v>
      </c>
      <c r="DM184" s="775">
        <f t="shared" si="304"/>
        <v>7.6828686570859658E-2</v>
      </c>
      <c r="DN184" s="775">
        <f t="shared" si="305"/>
        <v>9.0504603007204431E-3</v>
      </c>
      <c r="DO184" s="775">
        <f t="shared" si="248"/>
        <v>1.6537320536097762</v>
      </c>
      <c r="DP184" s="775">
        <f t="shared" si="249"/>
        <v>0.87977406809166336</v>
      </c>
      <c r="DQ184" s="775">
        <f t="shared" si="250"/>
        <v>36.088825538268594</v>
      </c>
      <c r="DR184" s="775">
        <f t="shared" si="251"/>
        <v>61.600740669201222</v>
      </c>
      <c r="DS184" s="775">
        <f t="shared" si="252"/>
        <v>28.719695110201503</v>
      </c>
      <c r="DT184" s="775">
        <f t="shared" si="253"/>
        <v>44.113460156976423</v>
      </c>
      <c r="DU184" s="775">
        <f t="shared" si="254"/>
        <v>107.86747594548696</v>
      </c>
      <c r="DV184" s="775">
        <f t="shared" si="255"/>
        <v>4.3924977294167125</v>
      </c>
      <c r="DW184" s="775">
        <f t="shared" si="256"/>
        <v>14.775730923800145</v>
      </c>
      <c r="DX184" s="775">
        <f t="shared" si="257"/>
        <v>6.7162413290000655</v>
      </c>
      <c r="DY184" s="775">
        <f t="shared" si="258"/>
        <v>34.197979631984765</v>
      </c>
      <c r="DZ184" s="775">
        <f t="shared" si="259"/>
        <v>38.952679643499096</v>
      </c>
      <c r="EA184" s="775"/>
      <c r="EB184" s="775"/>
      <c r="EC184" s="775"/>
      <c r="ED184" s="775"/>
      <c r="EE184" s="775"/>
      <c r="EF184" s="775" t="b">
        <f t="shared" si="306"/>
        <v>0</v>
      </c>
      <c r="EG184" s="775">
        <f t="shared" si="260"/>
        <v>17.467168338272508</v>
      </c>
      <c r="EH184" s="775">
        <v>44</v>
      </c>
      <c r="EI184" s="775">
        <f t="shared" si="311"/>
        <v>22</v>
      </c>
      <c r="EJ184" s="673">
        <f t="shared" si="261"/>
        <v>4.5328316617274913</v>
      </c>
      <c r="EK184" s="673">
        <f t="shared" si="262"/>
        <v>2.2510196371999172</v>
      </c>
      <c r="EL184" s="775" t="b">
        <f t="shared" si="263"/>
        <v>0</v>
      </c>
      <c r="EM184" s="673"/>
      <c r="EN184" s="775">
        <f t="shared" si="264"/>
        <v>4.5328316617274913</v>
      </c>
      <c r="EO184" s="775">
        <f t="shared" si="265"/>
        <v>5.8123675594779108E-2</v>
      </c>
      <c r="EP184" s="775">
        <f t="shared" si="266"/>
        <v>3.8875410600960909E-3</v>
      </c>
      <c r="EQ184" s="775">
        <f t="shared" si="267"/>
        <v>5.075139575248472</v>
      </c>
      <c r="ER184" s="775">
        <f t="shared" si="268"/>
        <v>2.5571990799154092</v>
      </c>
      <c r="ES184" s="775">
        <f t="shared" si="269"/>
        <v>4.0732562082858337</v>
      </c>
      <c r="ET184" s="775">
        <f t="shared" si="270"/>
        <v>8.0096077546351108</v>
      </c>
      <c r="EU184" s="775">
        <f t="shared" si="271"/>
        <v>2.330322113668549</v>
      </c>
      <c r="EV184" s="775">
        <f t="shared" si="272"/>
        <v>3.3211227314659384</v>
      </c>
      <c r="EW184" s="775">
        <f t="shared" si="273"/>
        <v>72.65459449347388</v>
      </c>
      <c r="EX184" s="775">
        <f t="shared" si="274"/>
        <v>11.777783983032039</v>
      </c>
      <c r="EY184" s="775">
        <f t="shared" si="307"/>
        <v>19.530767598289465</v>
      </c>
      <c r="EZ184" s="775">
        <f t="shared" si="275"/>
        <v>8.8776216355861202</v>
      </c>
      <c r="FA184" s="775">
        <f t="shared" si="276"/>
        <v>4.5328316617274913</v>
      </c>
      <c r="FB184" s="775">
        <f t="shared" si="277"/>
        <v>3.5109062277854854</v>
      </c>
      <c r="FC184" s="775"/>
      <c r="FD184" s="775"/>
      <c r="FE184" s="775"/>
      <c r="FF184" s="775"/>
      <c r="FG184" s="775"/>
      <c r="FH184" s="775"/>
      <c r="FI184" s="775"/>
      <c r="FJ184" s="775"/>
      <c r="FK184" s="775" t="b">
        <f t="shared" si="308"/>
        <v>0</v>
      </c>
      <c r="FL184" s="775">
        <f t="shared" si="278"/>
        <v>10.952679643499096</v>
      </c>
      <c r="FM184" s="775">
        <v>44</v>
      </c>
      <c r="FN184" s="775">
        <f t="shared" si="309"/>
        <v>28</v>
      </c>
      <c r="FO184" s="673">
        <f t="shared" si="312"/>
        <v>38.952679643499096</v>
      </c>
      <c r="FP184" s="673">
        <f t="shared" si="280"/>
        <v>24.403675819467587</v>
      </c>
      <c r="FQ184" s="775" t="b">
        <f t="shared" si="281"/>
        <v>0</v>
      </c>
      <c r="FR184" s="673"/>
      <c r="FS184" s="775">
        <f t="shared" si="282"/>
        <v>38.952679643499096</v>
      </c>
      <c r="FT184" s="775">
        <f t="shared" si="283"/>
        <v>7.6828686570859658E-2</v>
      </c>
      <c r="FU184" s="775">
        <f t="shared" si="284"/>
        <v>9.0504603007204431E-3</v>
      </c>
      <c r="FV184" s="775">
        <f t="shared" si="285"/>
        <v>1.6537320536097762</v>
      </c>
      <c r="FW184" s="775">
        <f t="shared" si="286"/>
        <v>0.87977406809166336</v>
      </c>
      <c r="FX184" s="775">
        <f t="shared" si="287"/>
        <v>46.352631533748927</v>
      </c>
      <c r="FY184" s="775">
        <f t="shared" si="288"/>
        <v>79.120237133172608</v>
      </c>
      <c r="FZ184" s="775">
        <f t="shared" si="289"/>
        <v>28.719695110201503</v>
      </c>
      <c r="GA184" s="775">
        <f t="shared" si="290"/>
        <v>44.113460156976423</v>
      </c>
      <c r="GB184" s="775">
        <f t="shared" si="291"/>
        <v>107.86747594548696</v>
      </c>
      <c r="GC184" s="775">
        <f t="shared" si="292"/>
        <v>4.3924977294167125</v>
      </c>
      <c r="GD184" s="775">
        <f t="shared" si="293"/>
        <v>5.3827161052088419</v>
      </c>
      <c r="GE184" s="775">
        <f t="shared" si="294"/>
        <v>2.4466891387312915</v>
      </c>
      <c r="GF184" s="775">
        <f t="shared" si="295"/>
        <v>40.159223683782599</v>
      </c>
      <c r="GG184" s="775">
        <f t="shared" si="296"/>
        <v>38.952679643499096</v>
      </c>
    </row>
    <row r="185" spans="70:189">
      <c r="BR185" s="775"/>
      <c r="BS185" s="775"/>
      <c r="BT185" s="775"/>
      <c r="BU185" s="775"/>
      <c r="BV185" s="775"/>
      <c r="BW185" s="775"/>
      <c r="BX185" s="775"/>
      <c r="BY185" s="775" t="b">
        <f t="shared" si="297"/>
        <v>0</v>
      </c>
      <c r="BZ185" s="775">
        <f t="shared" si="229"/>
        <v>17.936946226805549</v>
      </c>
      <c r="CA185" s="775">
        <v>45</v>
      </c>
      <c r="CB185" s="775">
        <f t="shared" si="310"/>
        <v>22.5</v>
      </c>
      <c r="CC185" s="673">
        <f t="shared" si="230"/>
        <v>4.5630537731944516</v>
      </c>
      <c r="CD185" s="91">
        <f t="shared" si="228"/>
        <v>2</v>
      </c>
      <c r="CE185" s="775" t="b">
        <f t="shared" si="231"/>
        <v>0</v>
      </c>
      <c r="CF185" s="673"/>
      <c r="CG185" s="775">
        <f t="shared" si="232"/>
        <v>4.5630537731944516</v>
      </c>
      <c r="CH185" s="775">
        <f t="shared" si="233"/>
        <v>5.68575876646846E-2</v>
      </c>
      <c r="CI185" s="775">
        <f t="shared" si="234"/>
        <v>3.8028600972428643E-3</v>
      </c>
      <c r="CJ185" s="775">
        <f t="shared" si="235"/>
        <v>5.0853295523300108</v>
      </c>
      <c r="CK185" s="775">
        <f t="shared" si="236"/>
        <v>2.5597450664844268</v>
      </c>
      <c r="CL185" s="775">
        <f t="shared" si="237"/>
        <v>4.0957447972767573</v>
      </c>
      <c r="CM185" s="775">
        <f t="shared" si="238"/>
        <v>8.053829077223682</v>
      </c>
      <c r="CN185" s="775">
        <f t="shared" si="239"/>
        <v>2.3371623420778707</v>
      </c>
      <c r="CO185" s="775">
        <f t="shared" si="240"/>
        <v>3.3305896610692733</v>
      </c>
      <c r="CP185" s="775">
        <f t="shared" si="241"/>
        <v>71.071984580855755</v>
      </c>
      <c r="CQ185" s="775">
        <f t="shared" si="242"/>
        <v>11.521232586521311</v>
      </c>
      <c r="CR185" s="775">
        <f t="shared" si="298"/>
        <v>19.965672949313248</v>
      </c>
      <c r="CS185" s="775">
        <f t="shared" si="243"/>
        <v>9.0753058860514759</v>
      </c>
      <c r="CT185" s="775">
        <f t="shared" si="244"/>
        <v>4.5630537731944516</v>
      </c>
      <c r="CU185" s="775">
        <f t="shared" si="245"/>
        <v>3.5239049035945458</v>
      </c>
      <c r="CV185" s="775"/>
      <c r="CW185" s="775"/>
      <c r="CX185" s="775"/>
      <c r="CY185" s="775"/>
      <c r="CZ185" s="775"/>
      <c r="DA185" s="775"/>
      <c r="DB185" s="775"/>
      <c r="DC185" s="775"/>
      <c r="DD185" s="775" t="b">
        <f t="shared" si="299"/>
        <v>0</v>
      </c>
      <c r="DE185" s="775">
        <f t="shared" si="300"/>
        <v>6.6090531065492684</v>
      </c>
      <c r="DF185" s="776">
        <v>46</v>
      </c>
      <c r="DG185" s="775">
        <f t="shared" si="301"/>
        <v>27.5</v>
      </c>
      <c r="DH185" s="673">
        <f t="shared" si="302"/>
        <v>34.109053106549268</v>
      </c>
      <c r="DI185" s="673">
        <f t="shared" si="246"/>
        <v>19</v>
      </c>
      <c r="DJ185" s="775" t="b">
        <f t="shared" si="247"/>
        <v>0</v>
      </c>
      <c r="DK185" s="673"/>
      <c r="DL185" s="775">
        <f t="shared" si="303"/>
        <v>34.109053106549268</v>
      </c>
      <c r="DM185" s="775">
        <f t="shared" si="304"/>
        <v>7.8024271603218689E-2</v>
      </c>
      <c r="DN185" s="775">
        <f t="shared" si="305"/>
        <v>9.1913008559149027E-3</v>
      </c>
      <c r="DO185" s="775">
        <f t="shared" si="248"/>
        <v>1.6491407759555734</v>
      </c>
      <c r="DP185" s="775">
        <f t="shared" si="249"/>
        <v>0.87847955833801561</v>
      </c>
      <c r="DQ185" s="775">
        <f t="shared" si="250"/>
        <v>35.949774471029755</v>
      </c>
      <c r="DR185" s="775">
        <f t="shared" si="251"/>
        <v>61.363391611563635</v>
      </c>
      <c r="DS185" s="775">
        <f t="shared" si="252"/>
        <v>28.627371918774521</v>
      </c>
      <c r="DT185" s="775">
        <f t="shared" si="253"/>
        <v>43.982429294100129</v>
      </c>
      <c r="DU185" s="775">
        <f t="shared" si="254"/>
        <v>109.54607733091903</v>
      </c>
      <c r="DV185" s="775">
        <f t="shared" si="255"/>
        <v>4.4608524647943373</v>
      </c>
      <c r="DW185" s="775">
        <f t="shared" si="256"/>
        <v>14.549318778301421</v>
      </c>
      <c r="DX185" s="775">
        <f t="shared" si="257"/>
        <v>6.6133267174097359</v>
      </c>
      <c r="DY185" s="775">
        <f t="shared" si="258"/>
        <v>34.109053106549268</v>
      </c>
      <c r="DZ185" s="775">
        <f t="shared" si="259"/>
        <v>38.880566978831503</v>
      </c>
      <c r="EA185" s="775"/>
      <c r="EB185" s="775"/>
      <c r="EC185" s="775"/>
      <c r="ED185" s="775"/>
      <c r="EE185" s="775"/>
      <c r="EF185" s="775" t="b">
        <f t="shared" si="306"/>
        <v>0</v>
      </c>
      <c r="EG185" s="775">
        <f t="shared" si="260"/>
        <v>17.936946226805549</v>
      </c>
      <c r="EH185" s="775">
        <v>45</v>
      </c>
      <c r="EI185" s="775">
        <f t="shared" si="311"/>
        <v>22.5</v>
      </c>
      <c r="EJ185" s="673">
        <f t="shared" si="261"/>
        <v>4.5630537731944516</v>
      </c>
      <c r="EK185" s="673">
        <f t="shared" si="262"/>
        <v>2.2510196371999172</v>
      </c>
      <c r="EL185" s="775" t="b">
        <f t="shared" si="263"/>
        <v>0</v>
      </c>
      <c r="EM185" s="673"/>
      <c r="EN185" s="775">
        <f t="shared" si="264"/>
        <v>4.5630537731944516</v>
      </c>
      <c r="EO185" s="775">
        <f t="shared" si="265"/>
        <v>5.68575876646846E-2</v>
      </c>
      <c r="EP185" s="775">
        <f t="shared" si="266"/>
        <v>3.8028600972428643E-3</v>
      </c>
      <c r="EQ185" s="775">
        <f t="shared" si="267"/>
        <v>5.0853295523300108</v>
      </c>
      <c r="ER185" s="775">
        <f t="shared" si="268"/>
        <v>2.5597450664844268</v>
      </c>
      <c r="ES185" s="775">
        <f t="shared" si="269"/>
        <v>4.0957447972767573</v>
      </c>
      <c r="ET185" s="775">
        <f t="shared" si="270"/>
        <v>8.053829077223682</v>
      </c>
      <c r="EU185" s="775">
        <f t="shared" si="271"/>
        <v>2.3371623420778707</v>
      </c>
      <c r="EV185" s="775">
        <f t="shared" si="272"/>
        <v>3.3305896610692733</v>
      </c>
      <c r="EW185" s="775">
        <f t="shared" si="273"/>
        <v>71.071984580855755</v>
      </c>
      <c r="EX185" s="775">
        <f t="shared" si="274"/>
        <v>11.521232586521311</v>
      </c>
      <c r="EY185" s="775">
        <f t="shared" si="307"/>
        <v>19.965672949313248</v>
      </c>
      <c r="EZ185" s="775">
        <f t="shared" si="275"/>
        <v>9.0753058860514759</v>
      </c>
      <c r="FA185" s="775">
        <f t="shared" si="276"/>
        <v>4.5630537731944516</v>
      </c>
      <c r="FB185" s="775">
        <f t="shared" si="277"/>
        <v>3.5239049035945458</v>
      </c>
      <c r="FC185" s="775"/>
      <c r="FD185" s="775"/>
      <c r="FE185" s="775"/>
      <c r="FF185" s="775"/>
      <c r="FG185" s="775"/>
      <c r="FH185" s="775"/>
      <c r="FI185" s="775"/>
      <c r="FJ185" s="775"/>
      <c r="FK185" s="775" t="b">
        <f t="shared" si="308"/>
        <v>0</v>
      </c>
      <c r="FL185" s="775">
        <f t="shared" si="278"/>
        <v>11.380566978831503</v>
      </c>
      <c r="FM185" s="775">
        <v>45</v>
      </c>
      <c r="FN185" s="775">
        <f t="shared" si="309"/>
        <v>27.5</v>
      </c>
      <c r="FO185" s="673">
        <f t="shared" si="312"/>
        <v>38.880566978831503</v>
      </c>
      <c r="FP185" s="673">
        <f t="shared" si="280"/>
        <v>24.403675819467587</v>
      </c>
      <c r="FQ185" s="775" t="b">
        <f t="shared" si="281"/>
        <v>0</v>
      </c>
      <c r="FR185" s="673"/>
      <c r="FS185" s="775">
        <f t="shared" si="282"/>
        <v>38.880566978831503</v>
      </c>
      <c r="FT185" s="775">
        <f t="shared" si="283"/>
        <v>7.8024271603218689E-2</v>
      </c>
      <c r="FU185" s="775">
        <f t="shared" si="284"/>
        <v>9.1913008559149027E-3</v>
      </c>
      <c r="FV185" s="775">
        <f t="shared" si="285"/>
        <v>1.6491407759555734</v>
      </c>
      <c r="FW185" s="775">
        <f t="shared" si="286"/>
        <v>0.87847955833801561</v>
      </c>
      <c r="FX185" s="775">
        <f t="shared" si="287"/>
        <v>46.17403378810431</v>
      </c>
      <c r="FY185" s="775">
        <f t="shared" si="288"/>
        <v>78.81538505640188</v>
      </c>
      <c r="FZ185" s="775">
        <f t="shared" si="289"/>
        <v>28.627371918774521</v>
      </c>
      <c r="GA185" s="775">
        <f t="shared" si="290"/>
        <v>43.982429294100129</v>
      </c>
      <c r="GB185" s="775">
        <f t="shared" si="291"/>
        <v>109.54607733091903</v>
      </c>
      <c r="GC185" s="775">
        <f t="shared" si="292"/>
        <v>4.4608524647943373</v>
      </c>
      <c r="GD185" s="775">
        <f t="shared" si="293"/>
        <v>5.3002354273814039</v>
      </c>
      <c r="GE185" s="775">
        <f t="shared" si="294"/>
        <v>2.4091979215370016</v>
      </c>
      <c r="GF185" s="775">
        <f t="shared" si="295"/>
        <v>40.064742007230315</v>
      </c>
      <c r="GG185" s="775">
        <f t="shared" si="296"/>
        <v>38.880566978831503</v>
      </c>
    </row>
    <row r="186" spans="70:189">
      <c r="BR186" s="775"/>
      <c r="BS186" s="775"/>
      <c r="BT186" s="775"/>
      <c r="BU186" s="775"/>
      <c r="BV186" s="775"/>
      <c r="BW186" s="775"/>
      <c r="BX186" s="775"/>
      <c r="BY186" s="775" t="b">
        <f t="shared" si="297"/>
        <v>0</v>
      </c>
      <c r="BZ186" s="775">
        <f t="shared" si="229"/>
        <v>18.407245655891117</v>
      </c>
      <c r="CA186" s="775">
        <v>46</v>
      </c>
      <c r="CB186" s="775">
        <f t="shared" si="310"/>
        <v>23</v>
      </c>
      <c r="CC186" s="673">
        <f t="shared" si="230"/>
        <v>4.5927543441088829</v>
      </c>
      <c r="CD186" s="91">
        <f t="shared" si="228"/>
        <v>2</v>
      </c>
      <c r="CE186" s="775" t="b">
        <f t="shared" si="231"/>
        <v>0</v>
      </c>
      <c r="CF186" s="673"/>
      <c r="CG186" s="775">
        <f t="shared" si="232"/>
        <v>4.5927543441088829</v>
      </c>
      <c r="CH186" s="775">
        <f t="shared" si="233"/>
        <v>5.5646008543434058E-2</v>
      </c>
      <c r="CI186" s="775">
        <f t="shared" si="234"/>
        <v>3.7218248988797431E-3</v>
      </c>
      <c r="CJ186" s="775">
        <f t="shared" si="235"/>
        <v>5.0951307845150291</v>
      </c>
      <c r="CK186" s="775">
        <f t="shared" si="236"/>
        <v>2.5621885749663442</v>
      </c>
      <c r="CL186" s="775">
        <f t="shared" si="237"/>
        <v>4.11785918321503</v>
      </c>
      <c r="CM186" s="775">
        <f t="shared" si="238"/>
        <v>8.0973145709031282</v>
      </c>
      <c r="CN186" s="775">
        <f t="shared" si="239"/>
        <v>2.3438695699183607</v>
      </c>
      <c r="CO186" s="775">
        <f t="shared" si="240"/>
        <v>3.3398730080665948</v>
      </c>
      <c r="CP186" s="775">
        <f t="shared" si="241"/>
        <v>69.557510679292577</v>
      </c>
      <c r="CQ186" s="775">
        <f t="shared" si="242"/>
        <v>11.275726482125489</v>
      </c>
      <c r="CR186" s="775">
        <f t="shared" si="298"/>
        <v>20.400385035953271</v>
      </c>
      <c r="CS186" s="775">
        <f t="shared" si="243"/>
        <v>9.272902289069668</v>
      </c>
      <c r="CT186" s="775">
        <f t="shared" si="244"/>
        <v>4.5927543441088829</v>
      </c>
      <c r="CU186" s="775">
        <f t="shared" si="245"/>
        <v>3.5366481086016197</v>
      </c>
      <c r="CV186" s="775"/>
      <c r="CW186" s="775"/>
      <c r="CX186" s="775"/>
      <c r="CY186" s="775"/>
      <c r="CZ186" s="775"/>
      <c r="DA186" s="775"/>
      <c r="DB186" s="775"/>
      <c r="DC186" s="775"/>
      <c r="DD186" s="775" t="b">
        <f t="shared" si="299"/>
        <v>0</v>
      </c>
      <c r="DE186" s="775">
        <f t="shared" si="300"/>
        <v>7.0186010219862425</v>
      </c>
      <c r="DF186" s="776">
        <v>47</v>
      </c>
      <c r="DG186" s="775">
        <f t="shared" si="301"/>
        <v>27</v>
      </c>
      <c r="DH186" s="673">
        <f t="shared" si="302"/>
        <v>34.018601021986242</v>
      </c>
      <c r="DI186" s="673">
        <f t="shared" si="246"/>
        <v>19</v>
      </c>
      <c r="DJ186" s="775" t="b">
        <f t="shared" si="247"/>
        <v>0</v>
      </c>
      <c r="DK186" s="673"/>
      <c r="DL186" s="775">
        <f t="shared" si="303"/>
        <v>34.018601021986242</v>
      </c>
      <c r="DM186" s="775">
        <f t="shared" si="304"/>
        <v>7.9260917579425771E-2</v>
      </c>
      <c r="DN186" s="775">
        <f t="shared" si="305"/>
        <v>9.3369784122191504E-3</v>
      </c>
      <c r="DO186" s="775">
        <f t="shared" si="248"/>
        <v>1.644426526151167</v>
      </c>
      <c r="DP186" s="775">
        <f t="shared" si="249"/>
        <v>0.87714658406202006</v>
      </c>
      <c r="DQ186" s="775">
        <f t="shared" si="250"/>
        <v>35.808722457017595</v>
      </c>
      <c r="DR186" s="775">
        <f t="shared" si="251"/>
        <v>61.122627097716595</v>
      </c>
      <c r="DS186" s="775">
        <f t="shared" si="252"/>
        <v>28.533611205989597</v>
      </c>
      <c r="DT186" s="775">
        <f t="shared" si="253"/>
        <v>43.849310667764307</v>
      </c>
      <c r="DU186" s="775">
        <f t="shared" si="254"/>
        <v>111.28232828151378</v>
      </c>
      <c r="DV186" s="775">
        <f t="shared" si="255"/>
        <v>4.5315547621396401</v>
      </c>
      <c r="DW186" s="775">
        <f t="shared" si="256"/>
        <v>14.322317160439619</v>
      </c>
      <c r="DX186" s="775">
        <f t="shared" si="257"/>
        <v>6.5101441638361894</v>
      </c>
      <c r="DY186" s="775">
        <f t="shared" si="258"/>
        <v>34.018601021986242</v>
      </c>
      <c r="DZ186" s="775">
        <f t="shared" si="259"/>
        <v>38.807130645836388</v>
      </c>
      <c r="EA186" s="775"/>
      <c r="EB186" s="775"/>
      <c r="EC186" s="775"/>
      <c r="ED186" s="775"/>
      <c r="EE186" s="775"/>
      <c r="EF186" s="775" t="b">
        <f t="shared" si="306"/>
        <v>0</v>
      </c>
      <c r="EG186" s="775">
        <f t="shared" si="260"/>
        <v>18.407245655891117</v>
      </c>
      <c r="EH186" s="775">
        <v>46</v>
      </c>
      <c r="EI186" s="775">
        <f t="shared" si="311"/>
        <v>23</v>
      </c>
      <c r="EJ186" s="673">
        <f t="shared" si="261"/>
        <v>4.5927543441088829</v>
      </c>
      <c r="EK186" s="673">
        <f t="shared" si="262"/>
        <v>2.2510196371999172</v>
      </c>
      <c r="EL186" s="775" t="b">
        <f t="shared" si="263"/>
        <v>0</v>
      </c>
      <c r="EM186" s="673"/>
      <c r="EN186" s="775">
        <f t="shared" si="264"/>
        <v>4.5927543441088829</v>
      </c>
      <c r="EO186" s="775">
        <f t="shared" si="265"/>
        <v>5.5646008543434058E-2</v>
      </c>
      <c r="EP186" s="775">
        <f t="shared" si="266"/>
        <v>3.7218248988797431E-3</v>
      </c>
      <c r="EQ186" s="775">
        <f t="shared" si="267"/>
        <v>5.0951307845150291</v>
      </c>
      <c r="ER186" s="775">
        <f t="shared" si="268"/>
        <v>2.5621885749663442</v>
      </c>
      <c r="ES186" s="775">
        <f t="shared" si="269"/>
        <v>4.11785918321503</v>
      </c>
      <c r="ET186" s="775">
        <f t="shared" si="270"/>
        <v>8.0973145709031282</v>
      </c>
      <c r="EU186" s="775">
        <f t="shared" si="271"/>
        <v>2.3438695699183607</v>
      </c>
      <c r="EV186" s="775">
        <f t="shared" si="272"/>
        <v>3.3398730080665948</v>
      </c>
      <c r="EW186" s="775">
        <f t="shared" si="273"/>
        <v>69.557510679292577</v>
      </c>
      <c r="EX186" s="775">
        <f t="shared" si="274"/>
        <v>11.275726482125489</v>
      </c>
      <c r="EY186" s="775">
        <f t="shared" si="307"/>
        <v>20.400385035953271</v>
      </c>
      <c r="EZ186" s="775">
        <f t="shared" si="275"/>
        <v>9.272902289069668</v>
      </c>
      <c r="FA186" s="775">
        <f t="shared" si="276"/>
        <v>4.5927543441088829</v>
      </c>
      <c r="FB186" s="775">
        <f t="shared" si="277"/>
        <v>3.5366481086016197</v>
      </c>
      <c r="FC186" s="775"/>
      <c r="FD186" s="775"/>
      <c r="FE186" s="775"/>
      <c r="FF186" s="775"/>
      <c r="FG186" s="775"/>
      <c r="FH186" s="775"/>
      <c r="FI186" s="775"/>
      <c r="FJ186" s="775"/>
      <c r="FK186" s="775" t="b">
        <f t="shared" si="308"/>
        <v>0</v>
      </c>
      <c r="FL186" s="775">
        <f t="shared" si="278"/>
        <v>11.807130645836388</v>
      </c>
      <c r="FM186" s="775">
        <v>46</v>
      </c>
      <c r="FN186" s="775">
        <f t="shared" si="309"/>
        <v>27</v>
      </c>
      <c r="FO186" s="673">
        <f t="shared" si="312"/>
        <v>38.807130645836388</v>
      </c>
      <c r="FP186" s="673">
        <f t="shared" si="280"/>
        <v>24.403675819467587</v>
      </c>
      <c r="FQ186" s="775" t="b">
        <f t="shared" si="281"/>
        <v>0</v>
      </c>
      <c r="FR186" s="673"/>
      <c r="FS186" s="775">
        <f t="shared" si="282"/>
        <v>38.807130645836388</v>
      </c>
      <c r="FT186" s="775">
        <f t="shared" si="283"/>
        <v>7.9260917579425771E-2</v>
      </c>
      <c r="FU186" s="775">
        <f t="shared" si="284"/>
        <v>9.3369784122191504E-3</v>
      </c>
      <c r="FV186" s="775">
        <f t="shared" si="285"/>
        <v>1.644426526151167</v>
      </c>
      <c r="FW186" s="775">
        <f t="shared" si="286"/>
        <v>0.87714658406202006</v>
      </c>
      <c r="FX186" s="775">
        <f t="shared" si="287"/>
        <v>45.992866018439273</v>
      </c>
      <c r="FY186" s="775">
        <f t="shared" si="288"/>
        <v>78.506146154046348</v>
      </c>
      <c r="FZ186" s="775">
        <f t="shared" si="289"/>
        <v>28.533611205989597</v>
      </c>
      <c r="GA186" s="775">
        <f t="shared" si="290"/>
        <v>43.849310667764307</v>
      </c>
      <c r="GB186" s="775">
        <f t="shared" si="291"/>
        <v>111.28232828151378</v>
      </c>
      <c r="GC186" s="775">
        <f t="shared" si="292"/>
        <v>4.5315547621396401</v>
      </c>
      <c r="GD186" s="775">
        <f t="shared" si="293"/>
        <v>5.2175400080701992</v>
      </c>
      <c r="GE186" s="775">
        <f t="shared" si="294"/>
        <v>2.3716090945773631</v>
      </c>
      <c r="GF186" s="775">
        <f t="shared" si="295"/>
        <v>39.96859542693678</v>
      </c>
      <c r="GG186" s="775">
        <f t="shared" si="296"/>
        <v>38.807130645836388</v>
      </c>
    </row>
    <row r="187" spans="70:189">
      <c r="BR187" s="775"/>
      <c r="BS187" s="775"/>
      <c r="BT187" s="775"/>
      <c r="BU187" s="775"/>
      <c r="BV187" s="775"/>
      <c r="BW187" s="775"/>
      <c r="BX187" s="775"/>
      <c r="BY187" s="775" t="b">
        <f t="shared" si="297"/>
        <v>0</v>
      </c>
      <c r="BZ187" s="775">
        <f t="shared" si="229"/>
        <v>18.878046666571962</v>
      </c>
      <c r="CA187" s="775">
        <v>47</v>
      </c>
      <c r="CB187" s="775">
        <f t="shared" si="310"/>
        <v>23.5</v>
      </c>
      <c r="CC187" s="673">
        <f t="shared" si="230"/>
        <v>4.6219533334280403</v>
      </c>
      <c r="CD187" s="91">
        <f t="shared" si="228"/>
        <v>2</v>
      </c>
      <c r="CE187" s="775" t="b">
        <f t="shared" si="231"/>
        <v>0</v>
      </c>
      <c r="CF187" s="673"/>
      <c r="CG187" s="775">
        <f t="shared" si="232"/>
        <v>4.6219533334280403</v>
      </c>
      <c r="CH187" s="775">
        <f t="shared" si="233"/>
        <v>5.4485481394370719E-2</v>
      </c>
      <c r="CI187" s="775">
        <f t="shared" si="234"/>
        <v>3.6442042581137759E-3</v>
      </c>
      <c r="CJ187" s="775">
        <f t="shared" si="235"/>
        <v>5.1045652165506059</v>
      </c>
      <c r="CK187" s="775">
        <f t="shared" si="236"/>
        <v>2.5645356956975851</v>
      </c>
      <c r="CL187" s="775">
        <f t="shared" si="237"/>
        <v>4.1396135284714779</v>
      </c>
      <c r="CM187" s="775">
        <f t="shared" si="238"/>
        <v>8.1400920844090567</v>
      </c>
      <c r="CN187" s="775">
        <f t="shared" si="239"/>
        <v>2.3504491948543045</v>
      </c>
      <c r="CO187" s="775">
        <f t="shared" si="240"/>
        <v>3.3489802127151216</v>
      </c>
      <c r="CP187" s="775">
        <f t="shared" si="241"/>
        <v>68.1068517429634</v>
      </c>
      <c r="CQ187" s="775">
        <f t="shared" si="242"/>
        <v>11.040565200113589</v>
      </c>
      <c r="CR187" s="775">
        <f t="shared" si="298"/>
        <v>20.834908143388187</v>
      </c>
      <c r="CS187" s="775">
        <f t="shared" si="243"/>
        <v>9.4704127924491743</v>
      </c>
      <c r="CT187" s="775">
        <f t="shared" si="244"/>
        <v>4.6219533334280403</v>
      </c>
      <c r="CU187" s="775">
        <f t="shared" si="245"/>
        <v>3.5491462530829487</v>
      </c>
      <c r="CV187" s="775"/>
      <c r="CW187" s="775"/>
      <c r="CX187" s="775"/>
      <c r="CY187" s="775"/>
      <c r="CZ187" s="775"/>
      <c r="DA187" s="775"/>
      <c r="DB187" s="775"/>
      <c r="DC187" s="775"/>
      <c r="DD187" s="775" t="b">
        <f t="shared" si="299"/>
        <v>0</v>
      </c>
      <c r="DE187" s="775">
        <f t="shared" si="300"/>
        <v>7.426568869135842</v>
      </c>
      <c r="DF187" s="776">
        <v>48</v>
      </c>
      <c r="DG187" s="775">
        <f t="shared" si="301"/>
        <v>26.5</v>
      </c>
      <c r="DH187" s="673">
        <f t="shared" si="302"/>
        <v>33.926568869135842</v>
      </c>
      <c r="DI187" s="673">
        <f t="shared" si="246"/>
        <v>19</v>
      </c>
      <c r="DJ187" s="775" t="b">
        <f t="shared" si="247"/>
        <v>0</v>
      </c>
      <c r="DK187" s="673"/>
      <c r="DL187" s="775">
        <f t="shared" si="303"/>
        <v>33.926568869135842</v>
      </c>
      <c r="DM187" s="775">
        <f t="shared" si="304"/>
        <v>8.0540834969907313E-2</v>
      </c>
      <c r="DN187" s="775">
        <f t="shared" si="305"/>
        <v>9.4877533642297E-3</v>
      </c>
      <c r="DO187" s="775">
        <f t="shared" si="248"/>
        <v>1.6395840457847253</v>
      </c>
      <c r="DP187" s="775">
        <f t="shared" si="249"/>
        <v>0.87577333787990452</v>
      </c>
      <c r="DQ187" s="775">
        <f t="shared" si="250"/>
        <v>35.665602834653832</v>
      </c>
      <c r="DR187" s="775">
        <f t="shared" si="251"/>
        <v>60.878333341674143</v>
      </c>
      <c r="DS187" s="775">
        <f t="shared" si="252"/>
        <v>28.438363593270466</v>
      </c>
      <c r="DT187" s="775">
        <f t="shared" si="253"/>
        <v>43.714031756320267</v>
      </c>
      <c r="DU187" s="775">
        <f t="shared" si="254"/>
        <v>113.07933229774987</v>
      </c>
      <c r="DV187" s="775">
        <f t="shared" si="255"/>
        <v>4.6047309998506138</v>
      </c>
      <c r="DW187" s="775">
        <f t="shared" si="256"/>
        <v>14.094713575097003</v>
      </c>
      <c r="DX187" s="775">
        <f t="shared" si="257"/>
        <v>6.4066879886804555</v>
      </c>
      <c r="DY187" s="775">
        <f t="shared" si="258"/>
        <v>33.926568869135842</v>
      </c>
      <c r="DZ187" s="775">
        <f t="shared" si="259"/>
        <v>38.732321557456252</v>
      </c>
      <c r="EA187" s="775"/>
      <c r="EB187" s="775"/>
      <c r="EC187" s="775"/>
      <c r="ED187" s="775"/>
      <c r="EE187" s="775"/>
      <c r="EF187" s="775" t="b">
        <f t="shared" si="306"/>
        <v>0</v>
      </c>
      <c r="EG187" s="775">
        <f t="shared" si="260"/>
        <v>18.878046666571962</v>
      </c>
      <c r="EH187" s="775">
        <v>47</v>
      </c>
      <c r="EI187" s="775">
        <f t="shared" si="311"/>
        <v>23.5</v>
      </c>
      <c r="EJ187" s="673">
        <f t="shared" si="261"/>
        <v>4.6219533334280403</v>
      </c>
      <c r="EK187" s="673">
        <f t="shared" si="262"/>
        <v>2.2510196371999172</v>
      </c>
      <c r="EL187" s="775" t="b">
        <f t="shared" si="263"/>
        <v>0</v>
      </c>
      <c r="EM187" s="673"/>
      <c r="EN187" s="775">
        <f t="shared" si="264"/>
        <v>4.6219533334280403</v>
      </c>
      <c r="EO187" s="775">
        <f t="shared" si="265"/>
        <v>5.4485481394370719E-2</v>
      </c>
      <c r="EP187" s="775">
        <f t="shared" si="266"/>
        <v>3.6442042581137759E-3</v>
      </c>
      <c r="EQ187" s="775">
        <f t="shared" si="267"/>
        <v>5.1045652165506059</v>
      </c>
      <c r="ER187" s="775">
        <f t="shared" si="268"/>
        <v>2.5645356956975851</v>
      </c>
      <c r="ES187" s="775">
        <f t="shared" si="269"/>
        <v>4.1396135284714779</v>
      </c>
      <c r="ET187" s="775">
        <f t="shared" si="270"/>
        <v>8.1400920844090567</v>
      </c>
      <c r="EU187" s="775">
        <f t="shared" si="271"/>
        <v>2.3504491948543045</v>
      </c>
      <c r="EV187" s="775">
        <f t="shared" si="272"/>
        <v>3.3489802127151216</v>
      </c>
      <c r="EW187" s="775">
        <f t="shared" si="273"/>
        <v>68.1068517429634</v>
      </c>
      <c r="EX187" s="775">
        <f t="shared" si="274"/>
        <v>11.040565200113589</v>
      </c>
      <c r="EY187" s="775">
        <f t="shared" si="307"/>
        <v>20.834908143388187</v>
      </c>
      <c r="EZ187" s="775">
        <f t="shared" si="275"/>
        <v>9.4704127924491743</v>
      </c>
      <c r="FA187" s="775">
        <f t="shared" si="276"/>
        <v>4.6219533334280403</v>
      </c>
      <c r="FB187" s="775">
        <f t="shared" si="277"/>
        <v>3.5491462530829487</v>
      </c>
      <c r="FC187" s="775"/>
      <c r="FD187" s="775"/>
      <c r="FE187" s="775"/>
      <c r="FF187" s="775"/>
      <c r="FG187" s="775"/>
      <c r="FH187" s="775"/>
      <c r="FI187" s="775"/>
      <c r="FJ187" s="775"/>
      <c r="FK187" s="775" t="b">
        <f t="shared" si="308"/>
        <v>0</v>
      </c>
      <c r="FL187" s="775">
        <f t="shared" si="278"/>
        <v>12.232321557456252</v>
      </c>
      <c r="FM187" s="775">
        <v>47</v>
      </c>
      <c r="FN187" s="775">
        <f t="shared" si="309"/>
        <v>26.5</v>
      </c>
      <c r="FO187" s="673">
        <f t="shared" si="312"/>
        <v>38.732321557456252</v>
      </c>
      <c r="FP187" s="673">
        <f t="shared" si="280"/>
        <v>24.403675819467587</v>
      </c>
      <c r="FQ187" s="775" t="b">
        <f t="shared" si="281"/>
        <v>0</v>
      </c>
      <c r="FR187" s="673"/>
      <c r="FS187" s="775">
        <f t="shared" si="282"/>
        <v>38.732321557456252</v>
      </c>
      <c r="FT187" s="775">
        <f t="shared" si="283"/>
        <v>8.0540834969907313E-2</v>
      </c>
      <c r="FU187" s="775">
        <f t="shared" si="284"/>
        <v>9.4877533642297E-3</v>
      </c>
      <c r="FV187" s="775">
        <f t="shared" si="285"/>
        <v>1.6395840457847253</v>
      </c>
      <c r="FW187" s="775">
        <f t="shared" si="286"/>
        <v>0.87577333787990452</v>
      </c>
      <c r="FX187" s="775">
        <f t="shared" si="287"/>
        <v>45.809042604356648</v>
      </c>
      <c r="FY187" s="775">
        <f t="shared" si="288"/>
        <v>78.192374278931624</v>
      </c>
      <c r="FZ187" s="775">
        <f t="shared" si="289"/>
        <v>28.438363593270466</v>
      </c>
      <c r="GA187" s="775">
        <f t="shared" si="290"/>
        <v>43.714031756320267</v>
      </c>
      <c r="GB187" s="775">
        <f t="shared" si="291"/>
        <v>113.07933229774987</v>
      </c>
      <c r="GC187" s="775">
        <f t="shared" si="292"/>
        <v>4.6047309998506138</v>
      </c>
      <c r="GD187" s="775">
        <f t="shared" si="293"/>
        <v>5.1346252953737466</v>
      </c>
      <c r="GE187" s="775">
        <f t="shared" si="294"/>
        <v>2.3339205888062482</v>
      </c>
      <c r="GF187" s="775">
        <f t="shared" si="295"/>
        <v>39.870723682327124</v>
      </c>
      <c r="GG187" s="775">
        <f t="shared" si="296"/>
        <v>38.732321557456252</v>
      </c>
    </row>
    <row r="188" spans="70:189">
      <c r="BR188" s="775"/>
      <c r="BS188" s="775"/>
      <c r="BT188" s="775"/>
      <c r="BU188" s="775"/>
      <c r="BV188" s="775"/>
      <c r="BW188" s="775"/>
      <c r="BX188" s="775"/>
      <c r="BY188" s="775" t="b">
        <f t="shared" si="297"/>
        <v>0</v>
      </c>
      <c r="BZ188" s="775">
        <f t="shared" si="229"/>
        <v>19.349330467791919</v>
      </c>
      <c r="CA188" s="775">
        <v>48</v>
      </c>
      <c r="CB188" s="775">
        <f t="shared" si="310"/>
        <v>24</v>
      </c>
      <c r="CC188" s="673">
        <f t="shared" si="230"/>
        <v>4.6506695322080809</v>
      </c>
      <c r="CD188" s="91">
        <f t="shared" si="228"/>
        <v>2</v>
      </c>
      <c r="CE188" s="775" t="b">
        <f t="shared" si="231"/>
        <v>0</v>
      </c>
      <c r="CF188" s="673"/>
      <c r="CG188" s="775">
        <f t="shared" si="232"/>
        <v>4.6506695322080809</v>
      </c>
      <c r="CH188" s="775">
        <f t="shared" si="233"/>
        <v>5.3372836071016082E-2</v>
      </c>
      <c r="CI188" s="775">
        <f t="shared" si="234"/>
        <v>3.5697861430237939E-3</v>
      </c>
      <c r="CJ188" s="775">
        <f t="shared" si="235"/>
        <v>5.1136531664026057</v>
      </c>
      <c r="CK188" s="775">
        <f t="shared" si="236"/>
        <v>2.5667920446545178</v>
      </c>
      <c r="CL188" s="775">
        <f t="shared" si="237"/>
        <v>4.1610211717282315</v>
      </c>
      <c r="CM188" s="775">
        <f t="shared" si="238"/>
        <v>8.1821878467843678</v>
      </c>
      <c r="CN188" s="775">
        <f t="shared" si="239"/>
        <v>2.3569062862525758</v>
      </c>
      <c r="CO188" s="775">
        <f t="shared" si="240"/>
        <v>3.3579182631518734</v>
      </c>
      <c r="CP188" s="775">
        <f t="shared" si="241"/>
        <v>66.716045088770102</v>
      </c>
      <c r="CQ188" s="775">
        <f t="shared" si="242"/>
        <v>10.815106363691021</v>
      </c>
      <c r="CR188" s="775">
        <f t="shared" si="298"/>
        <v>21.269246372621861</v>
      </c>
      <c r="CS188" s="775">
        <f t="shared" si="243"/>
        <v>9.6678392602826637</v>
      </c>
      <c r="CT188" s="775">
        <f t="shared" si="244"/>
        <v>4.6506695322080809</v>
      </c>
      <c r="CU188" s="775">
        <f t="shared" si="245"/>
        <v>3.5614091126162855</v>
      </c>
      <c r="CV188" s="775"/>
      <c r="CW188" s="775"/>
      <c r="CX188" s="775"/>
      <c r="CY188" s="775"/>
      <c r="CZ188" s="775"/>
      <c r="DA188" s="775"/>
      <c r="DB188" s="775"/>
      <c r="DC188" s="775"/>
      <c r="DD188" s="775" t="b">
        <f t="shared" si="299"/>
        <v>0</v>
      </c>
      <c r="DE188" s="775">
        <f t="shared" si="300"/>
        <v>7.8328991278028326</v>
      </c>
      <c r="DF188" s="776">
        <v>49</v>
      </c>
      <c r="DG188" s="775">
        <f t="shared" si="301"/>
        <v>26</v>
      </c>
      <c r="DH188" s="673">
        <f t="shared" si="302"/>
        <v>33.832899127802833</v>
      </c>
      <c r="DI188" s="673">
        <f t="shared" si="246"/>
        <v>19</v>
      </c>
      <c r="DJ188" s="775" t="b">
        <f t="shared" si="247"/>
        <v>0</v>
      </c>
      <c r="DK188" s="673"/>
      <c r="DL188" s="775">
        <f t="shared" si="303"/>
        <v>33.832899127802833</v>
      </c>
      <c r="DM188" s="775">
        <f t="shared" si="304"/>
        <v>8.1866397980722788E-2</v>
      </c>
      <c r="DN188" s="775">
        <f t="shared" si="305"/>
        <v>9.643905394688063E-3</v>
      </c>
      <c r="DO188" s="775">
        <f t="shared" si="248"/>
        <v>1.6346077624671782</v>
      </c>
      <c r="DP188" s="775">
        <f t="shared" si="249"/>
        <v>0.87435789477439696</v>
      </c>
      <c r="DQ188" s="775">
        <f t="shared" si="250"/>
        <v>35.520345411896443</v>
      </c>
      <c r="DR188" s="775">
        <f t="shared" si="251"/>
        <v>60.630390531230923</v>
      </c>
      <c r="DS188" s="775">
        <f t="shared" si="252"/>
        <v>28.341577038517297</v>
      </c>
      <c r="DT188" s="775">
        <f t="shared" si="253"/>
        <v>43.576516097590158</v>
      </c>
      <c r="DU188" s="775">
        <f t="shared" si="254"/>
        <v>114.94042276493479</v>
      </c>
      <c r="DV188" s="775">
        <f t="shared" si="255"/>
        <v>4.6805169175212953</v>
      </c>
      <c r="DW188" s="775">
        <f t="shared" si="256"/>
        <v>13.866495021160054</v>
      </c>
      <c r="DX188" s="775">
        <f t="shared" si="257"/>
        <v>6.3029522823454789</v>
      </c>
      <c r="DY188" s="775">
        <f t="shared" si="258"/>
        <v>33.832899127802833</v>
      </c>
      <c r="DZ188" s="775">
        <f t="shared" si="259"/>
        <v>38.656087845393728</v>
      </c>
      <c r="EA188" s="775"/>
      <c r="EB188" s="775"/>
      <c r="EC188" s="775"/>
      <c r="ED188" s="775"/>
      <c r="EE188" s="775"/>
      <c r="EF188" s="775" t="b">
        <f t="shared" si="306"/>
        <v>0</v>
      </c>
      <c r="EG188" s="775">
        <f t="shared" si="260"/>
        <v>19.349330467791919</v>
      </c>
      <c r="EH188" s="775">
        <v>48</v>
      </c>
      <c r="EI188" s="775">
        <f t="shared" si="311"/>
        <v>24</v>
      </c>
      <c r="EJ188" s="673">
        <f t="shared" si="261"/>
        <v>4.6506695322080809</v>
      </c>
      <c r="EK188" s="673">
        <f t="shared" si="262"/>
        <v>2.2510196371999172</v>
      </c>
      <c r="EL188" s="775" t="b">
        <f t="shared" si="263"/>
        <v>0</v>
      </c>
      <c r="EM188" s="673"/>
      <c r="EN188" s="775">
        <f t="shared" si="264"/>
        <v>4.6506695322080809</v>
      </c>
      <c r="EO188" s="775">
        <f t="shared" si="265"/>
        <v>5.3372836071016082E-2</v>
      </c>
      <c r="EP188" s="775">
        <f t="shared" si="266"/>
        <v>3.5697861430237939E-3</v>
      </c>
      <c r="EQ188" s="775">
        <f t="shared" si="267"/>
        <v>5.1136531664026057</v>
      </c>
      <c r="ER188" s="775">
        <f t="shared" si="268"/>
        <v>2.5667920446545178</v>
      </c>
      <c r="ES188" s="775">
        <f t="shared" si="269"/>
        <v>4.1610211717282315</v>
      </c>
      <c r="ET188" s="775">
        <f t="shared" si="270"/>
        <v>8.1821878467843678</v>
      </c>
      <c r="EU188" s="775">
        <f t="shared" si="271"/>
        <v>2.3569062862525758</v>
      </c>
      <c r="EV188" s="775">
        <f t="shared" si="272"/>
        <v>3.3579182631518734</v>
      </c>
      <c r="EW188" s="775">
        <f t="shared" si="273"/>
        <v>66.716045088770102</v>
      </c>
      <c r="EX188" s="775">
        <f t="shared" si="274"/>
        <v>10.815106363691021</v>
      </c>
      <c r="EY188" s="775">
        <f t="shared" si="307"/>
        <v>21.269246372621861</v>
      </c>
      <c r="EZ188" s="775">
        <f t="shared" si="275"/>
        <v>9.6678392602826637</v>
      </c>
      <c r="FA188" s="775">
        <f t="shared" si="276"/>
        <v>4.6506695322080809</v>
      </c>
      <c r="FB188" s="775">
        <f t="shared" si="277"/>
        <v>3.5614091126162855</v>
      </c>
      <c r="FC188" s="775"/>
      <c r="FD188" s="775"/>
      <c r="FE188" s="775"/>
      <c r="FF188" s="775"/>
      <c r="FG188" s="775"/>
      <c r="FH188" s="775"/>
      <c r="FI188" s="775"/>
      <c r="FJ188" s="775"/>
      <c r="FK188" s="775" t="b">
        <f t="shared" si="308"/>
        <v>0</v>
      </c>
      <c r="FL188" s="775">
        <f t="shared" si="278"/>
        <v>12.656087845393728</v>
      </c>
      <c r="FM188" s="775">
        <v>48</v>
      </c>
      <c r="FN188" s="775">
        <f t="shared" si="309"/>
        <v>26</v>
      </c>
      <c r="FO188" s="673">
        <f t="shared" si="312"/>
        <v>38.656087845393728</v>
      </c>
      <c r="FP188" s="673">
        <f t="shared" si="280"/>
        <v>24.403675819467587</v>
      </c>
      <c r="FQ188" s="775" t="b">
        <f t="shared" si="281"/>
        <v>0</v>
      </c>
      <c r="FR188" s="673"/>
      <c r="FS188" s="775">
        <f t="shared" si="282"/>
        <v>38.656087845393728</v>
      </c>
      <c r="FT188" s="775">
        <f t="shared" si="283"/>
        <v>8.1866397980722788E-2</v>
      </c>
      <c r="FU188" s="775">
        <f t="shared" si="284"/>
        <v>9.643905394688063E-3</v>
      </c>
      <c r="FV188" s="775">
        <f t="shared" si="285"/>
        <v>1.6346077624671782</v>
      </c>
      <c r="FW188" s="775">
        <f t="shared" si="286"/>
        <v>0.87435789477439696</v>
      </c>
      <c r="FX188" s="775">
        <f t="shared" si="287"/>
        <v>45.622473390917563</v>
      </c>
      <c r="FY188" s="775">
        <f t="shared" si="288"/>
        <v>77.873915543782971</v>
      </c>
      <c r="FZ188" s="775">
        <f t="shared" si="289"/>
        <v>28.341577038517297</v>
      </c>
      <c r="GA188" s="775">
        <f t="shared" si="290"/>
        <v>43.576516097590158</v>
      </c>
      <c r="GB188" s="775">
        <f t="shared" si="291"/>
        <v>114.94042276493479</v>
      </c>
      <c r="GC188" s="775">
        <f t="shared" si="292"/>
        <v>4.6805169175212953</v>
      </c>
      <c r="GD188" s="775">
        <f t="shared" si="293"/>
        <v>5.0514865530591333</v>
      </c>
      <c r="GE188" s="775">
        <f t="shared" si="294"/>
        <v>2.2961302513905149</v>
      </c>
      <c r="GF188" s="775">
        <f t="shared" si="295"/>
        <v>39.771063156339153</v>
      </c>
      <c r="GG188" s="775">
        <f t="shared" si="296"/>
        <v>38.656087845393728</v>
      </c>
    </row>
    <row r="189" spans="70:189">
      <c r="BR189" s="775"/>
      <c r="BS189" s="775"/>
      <c r="BT189" s="775"/>
      <c r="BU189" s="775"/>
      <c r="BV189" s="775"/>
      <c r="BW189" s="775"/>
      <c r="BX189" s="775"/>
      <c r="BY189" s="775" t="b">
        <f t="shared" si="297"/>
        <v>0</v>
      </c>
      <c r="BZ189" s="775">
        <f t="shared" si="229"/>
        <v>19.821079345357475</v>
      </c>
      <c r="CA189" s="775">
        <v>49</v>
      </c>
      <c r="CB189" s="775">
        <f t="shared" si="310"/>
        <v>24.5</v>
      </c>
      <c r="CC189" s="673">
        <f t="shared" si="230"/>
        <v>4.6789206546425239</v>
      </c>
      <c r="CD189" s="91">
        <f t="shared" si="228"/>
        <v>2</v>
      </c>
      <c r="CE189" s="775" t="b">
        <f t="shared" si="231"/>
        <v>0</v>
      </c>
      <c r="CF189" s="673"/>
      <c r="CG189" s="775">
        <f t="shared" si="232"/>
        <v>4.6789206546425239</v>
      </c>
      <c r="CH189" s="775">
        <f t="shared" si="233"/>
        <v>5.2305159973911296E-2</v>
      </c>
      <c r="CI189" s="775">
        <f t="shared" si="234"/>
        <v>3.4983757474508267E-3</v>
      </c>
      <c r="CJ189" s="775">
        <f t="shared" si="235"/>
        <v>5.122413473649714</v>
      </c>
      <c r="CK189" s="775">
        <f t="shared" si="236"/>
        <v>2.5689628088301553</v>
      </c>
      <c r="CL189" s="775">
        <f t="shared" si="237"/>
        <v>4.1820946919264257</v>
      </c>
      <c r="CM189" s="775">
        <f t="shared" si="238"/>
        <v>8.2236265931253314</v>
      </c>
      <c r="CN189" s="775">
        <f t="shared" si="239"/>
        <v>2.3632456115194227</v>
      </c>
      <c r="CO189" s="775">
        <f t="shared" si="240"/>
        <v>3.3666937316393608</v>
      </c>
      <c r="CP189" s="775">
        <f t="shared" si="241"/>
        <v>65.381449967389116</v>
      </c>
      <c r="CQ189" s="775">
        <f t="shared" si="242"/>
        <v>10.598759783629307</v>
      </c>
      <c r="CR189" s="775">
        <f t="shared" si="298"/>
        <v>21.703403652072065</v>
      </c>
      <c r="CS189" s="775">
        <f t="shared" si="243"/>
        <v>9.8651834782145738</v>
      </c>
      <c r="CT189" s="775">
        <f t="shared" si="244"/>
        <v>4.6789206546425239</v>
      </c>
      <c r="CU189" s="775">
        <f t="shared" si="245"/>
        <v>3.5734458790829513</v>
      </c>
      <c r="CV189" s="775"/>
      <c r="CW189" s="775"/>
      <c r="CX189" s="775"/>
      <c r="CY189" s="775"/>
      <c r="CZ189" s="775"/>
      <c r="DA189" s="775"/>
      <c r="DB189" s="775"/>
      <c r="DC189" s="775"/>
      <c r="DD189" s="775" t="b">
        <f t="shared" si="299"/>
        <v>0</v>
      </c>
      <c r="DE189" s="775">
        <f t="shared" si="300"/>
        <v>8.2375310391847734</v>
      </c>
      <c r="DF189" s="776">
        <v>50</v>
      </c>
      <c r="DG189" s="775">
        <f t="shared" si="301"/>
        <v>25.5</v>
      </c>
      <c r="DH189" s="673">
        <f t="shared" si="302"/>
        <v>33.737531039184773</v>
      </c>
      <c r="DI189" s="673">
        <f t="shared" si="246"/>
        <v>19</v>
      </c>
      <c r="DJ189" s="775" t="b">
        <f t="shared" si="247"/>
        <v>0</v>
      </c>
      <c r="DK189" s="673"/>
      <c r="DL189" s="775">
        <f t="shared" si="303"/>
        <v>33.737531039184773</v>
      </c>
      <c r="DM189" s="775">
        <f t="shared" si="304"/>
        <v>8.3240160125542972E-2</v>
      </c>
      <c r="DN189" s="775">
        <f t="shared" si="305"/>
        <v>9.8057353088681059E-3</v>
      </c>
      <c r="DO189" s="775">
        <f t="shared" si="248"/>
        <v>1.6294917654551344</v>
      </c>
      <c r="DP189" s="775">
        <f t="shared" si="249"/>
        <v>0.87289820221118475</v>
      </c>
      <c r="DQ189" s="775">
        <f t="shared" si="250"/>
        <v>35.372876207209615</v>
      </c>
      <c r="DR189" s="775">
        <f t="shared" si="251"/>
        <v>60.378672385818454</v>
      </c>
      <c r="DS189" s="775">
        <f t="shared" si="252"/>
        <v>28.243196638144976</v>
      </c>
      <c r="DT189" s="775">
        <f t="shared" si="253"/>
        <v>43.436682994410823</v>
      </c>
      <c r="DU189" s="775">
        <f t="shared" si="254"/>
        <v>116.86918481626233</v>
      </c>
      <c r="DV189" s="775">
        <f t="shared" si="255"/>
        <v>4.7590585062326403</v>
      </c>
      <c r="DW189" s="775">
        <f t="shared" si="256"/>
        <v>13.637647960886778</v>
      </c>
      <c r="DX189" s="775">
        <f t="shared" si="257"/>
        <v>6.1989308913121715</v>
      </c>
      <c r="DY189" s="775">
        <f t="shared" si="258"/>
        <v>33.737531039184773</v>
      </c>
      <c r="DZ189" s="775">
        <f t="shared" si="259"/>
        <v>38.578374645822663</v>
      </c>
      <c r="EA189" s="775"/>
      <c r="EB189" s="775"/>
      <c r="EC189" s="775"/>
      <c r="ED189" s="775"/>
      <c r="EE189" s="775"/>
      <c r="EF189" s="775" t="b">
        <f t="shared" si="306"/>
        <v>0</v>
      </c>
      <c r="EG189" s="775">
        <f t="shared" si="260"/>
        <v>19.821079345357475</v>
      </c>
      <c r="EH189" s="775">
        <v>49</v>
      </c>
      <c r="EI189" s="775">
        <f t="shared" si="311"/>
        <v>24.5</v>
      </c>
      <c r="EJ189" s="673">
        <f t="shared" si="261"/>
        <v>4.6789206546425239</v>
      </c>
      <c r="EK189" s="673">
        <f t="shared" si="262"/>
        <v>2.2510196371999172</v>
      </c>
      <c r="EL189" s="775" t="b">
        <f t="shared" si="263"/>
        <v>0</v>
      </c>
      <c r="EM189" s="673"/>
      <c r="EN189" s="775">
        <f t="shared" si="264"/>
        <v>4.6789206546425239</v>
      </c>
      <c r="EO189" s="775">
        <f t="shared" si="265"/>
        <v>5.2305159973911296E-2</v>
      </c>
      <c r="EP189" s="775">
        <f t="shared" si="266"/>
        <v>3.4983757474508267E-3</v>
      </c>
      <c r="EQ189" s="775">
        <f t="shared" si="267"/>
        <v>5.122413473649714</v>
      </c>
      <c r="ER189" s="775">
        <f t="shared" si="268"/>
        <v>2.5689628088301553</v>
      </c>
      <c r="ES189" s="775">
        <f t="shared" si="269"/>
        <v>4.1820946919264257</v>
      </c>
      <c r="ET189" s="775">
        <f t="shared" si="270"/>
        <v>8.2236265931253314</v>
      </c>
      <c r="EU189" s="775">
        <f t="shared" si="271"/>
        <v>2.3632456115194227</v>
      </c>
      <c r="EV189" s="775">
        <f t="shared" si="272"/>
        <v>3.3666937316393608</v>
      </c>
      <c r="EW189" s="775">
        <f t="shared" si="273"/>
        <v>65.381449967389116</v>
      </c>
      <c r="EX189" s="775">
        <f t="shared" si="274"/>
        <v>10.598759783629307</v>
      </c>
      <c r="EY189" s="775">
        <f t="shared" si="307"/>
        <v>21.703403652072065</v>
      </c>
      <c r="EZ189" s="775">
        <f t="shared" si="275"/>
        <v>9.8651834782145738</v>
      </c>
      <c r="FA189" s="775">
        <f t="shared" si="276"/>
        <v>4.6789206546425239</v>
      </c>
      <c r="FB189" s="775">
        <f t="shared" si="277"/>
        <v>3.5734458790829513</v>
      </c>
      <c r="FC189" s="775"/>
      <c r="FD189" s="775"/>
      <c r="FE189" s="775"/>
      <c r="FF189" s="775"/>
      <c r="FG189" s="775"/>
      <c r="FH189" s="775"/>
      <c r="FI189" s="775"/>
      <c r="FJ189" s="775"/>
      <c r="FK189" s="775" t="b">
        <f t="shared" si="308"/>
        <v>0</v>
      </c>
      <c r="FL189" s="775">
        <f t="shared" si="278"/>
        <v>13.078374645822663</v>
      </c>
      <c r="FM189" s="775">
        <v>49</v>
      </c>
      <c r="FN189" s="775">
        <f t="shared" si="309"/>
        <v>25.5</v>
      </c>
      <c r="FO189" s="673">
        <f t="shared" si="312"/>
        <v>38.578374645822663</v>
      </c>
      <c r="FP189" s="673">
        <f t="shared" si="280"/>
        <v>24.403675819467587</v>
      </c>
      <c r="FQ189" s="775" t="b">
        <f t="shared" si="281"/>
        <v>0</v>
      </c>
      <c r="FR189" s="673"/>
      <c r="FS189" s="775">
        <f t="shared" si="282"/>
        <v>38.578374645822663</v>
      </c>
      <c r="FT189" s="775">
        <f t="shared" si="283"/>
        <v>8.3240160125542972E-2</v>
      </c>
      <c r="FU189" s="775">
        <f t="shared" si="284"/>
        <v>9.8057353088681059E-3</v>
      </c>
      <c r="FV189" s="775">
        <f t="shared" si="285"/>
        <v>1.6294917654551344</v>
      </c>
      <c r="FW189" s="775">
        <f t="shared" si="286"/>
        <v>0.87289820221118475</v>
      </c>
      <c r="FX189" s="775">
        <f t="shared" si="287"/>
        <v>45.433063355942188</v>
      </c>
      <c r="FY189" s="775">
        <f t="shared" si="288"/>
        <v>77.550607753334376</v>
      </c>
      <c r="FZ189" s="775">
        <f t="shared" si="289"/>
        <v>28.243196638144976</v>
      </c>
      <c r="GA189" s="775">
        <f t="shared" si="290"/>
        <v>43.436682994410823</v>
      </c>
      <c r="GB189" s="775">
        <f t="shared" si="291"/>
        <v>116.86918481626233</v>
      </c>
      <c r="GC189" s="775">
        <f t="shared" si="292"/>
        <v>4.7590585062326403</v>
      </c>
      <c r="GD189" s="775">
        <f t="shared" si="293"/>
        <v>4.9681188494026935</v>
      </c>
      <c r="GE189" s="775">
        <f t="shared" si="294"/>
        <v>2.258235840637588</v>
      </c>
      <c r="GF189" s="775">
        <f t="shared" si="295"/>
        <v>39.669546620198659</v>
      </c>
      <c r="GG189" s="775">
        <f t="shared" si="296"/>
        <v>38.578374645822663</v>
      </c>
    </row>
    <row r="190" spans="70:189">
      <c r="BR190" s="775"/>
      <c r="BS190" s="775"/>
      <c r="BT190" s="775"/>
      <c r="BU190" s="775"/>
      <c r="BV190" s="775"/>
      <c r="BW190" s="775"/>
      <c r="BX190" s="775"/>
      <c r="BY190" s="775" t="b">
        <f t="shared" si="297"/>
        <v>0</v>
      </c>
      <c r="BZ190" s="775">
        <f t="shared" si="229"/>
        <v>20.293276579694538</v>
      </c>
      <c r="CA190" s="775">
        <v>50</v>
      </c>
      <c r="CB190" s="775">
        <f t="shared" si="310"/>
        <v>25</v>
      </c>
      <c r="CC190" s="673">
        <f t="shared" si="230"/>
        <v>4.7067234203054626</v>
      </c>
      <c r="CD190" s="91">
        <f t="shared" si="228"/>
        <v>2</v>
      </c>
      <c r="CE190" s="775" t="b">
        <f t="shared" si="231"/>
        <v>0</v>
      </c>
      <c r="CF190" s="673"/>
      <c r="CG190" s="775">
        <f t="shared" si="232"/>
        <v>4.7067234203054626</v>
      </c>
      <c r="CH190" s="775">
        <f t="shared" si="233"/>
        <v>5.127977239369489E-2</v>
      </c>
      <c r="CI190" s="775">
        <f t="shared" si="234"/>
        <v>3.4297937749617723E-3</v>
      </c>
      <c r="CJ190" s="775">
        <f t="shared" si="235"/>
        <v>5.1308636318889365</v>
      </c>
      <c r="CK190" s="775">
        <f t="shared" si="236"/>
        <v>2.5710527864932269</v>
      </c>
      <c r="CL190" s="775">
        <f t="shared" si="237"/>
        <v>4.2028459660542232</v>
      </c>
      <c r="CM190" s="775">
        <f t="shared" si="238"/>
        <v>8.2644316782153524</v>
      </c>
      <c r="CN190" s="775">
        <f t="shared" si="239"/>
        <v>2.3694716598341961</v>
      </c>
      <c r="CO190" s="775">
        <f t="shared" si="240"/>
        <v>3.375312807230757</v>
      </c>
      <c r="CP190" s="775">
        <f t="shared" si="241"/>
        <v>64.099715492118619</v>
      </c>
      <c r="CQ190" s="775">
        <f t="shared" si="242"/>
        <v>10.390982259322888</v>
      </c>
      <c r="CR190" s="775">
        <f t="shared" si="298"/>
        <v>22.137383748208261</v>
      </c>
      <c r="CS190" s="775">
        <f t="shared" si="243"/>
        <v>10.062447158276482</v>
      </c>
      <c r="CT190" s="775">
        <f t="shared" si="244"/>
        <v>4.7067234203054626</v>
      </c>
      <c r="CU190" s="775">
        <f t="shared" si="245"/>
        <v>3.5852652066226365</v>
      </c>
      <c r="CV190" s="775"/>
      <c r="CW190" s="775"/>
      <c r="CX190" s="775"/>
      <c r="CY190" s="775"/>
      <c r="CZ190" s="775"/>
      <c r="DA190" s="775"/>
      <c r="DB190" s="775"/>
      <c r="DC190" s="775"/>
      <c r="DD190" s="775" t="b">
        <f t="shared" si="299"/>
        <v>0</v>
      </c>
      <c r="DE190" s="775">
        <f t="shared" si="300"/>
        <v>8.6404003562800824</v>
      </c>
      <c r="DF190" s="776">
        <v>51</v>
      </c>
      <c r="DG190" s="775">
        <f t="shared" si="301"/>
        <v>25</v>
      </c>
      <c r="DH190" s="673">
        <f t="shared" si="302"/>
        <v>33.640400356280082</v>
      </c>
      <c r="DI190" s="673">
        <f t="shared" si="246"/>
        <v>19</v>
      </c>
      <c r="DJ190" s="775" t="b">
        <f t="shared" si="247"/>
        <v>0</v>
      </c>
      <c r="DK190" s="673"/>
      <c r="DL190" s="775">
        <f t="shared" si="303"/>
        <v>33.640400356280082</v>
      </c>
      <c r="DM190" s="775">
        <f t="shared" si="304"/>
        <v>8.4664871619181528E-2</v>
      </c>
      <c r="DN190" s="775">
        <f t="shared" si="305"/>
        <v>9.9735670835433554E-3</v>
      </c>
      <c r="DO190" s="775">
        <f t="shared" si="248"/>
        <v>1.6242297789194482</v>
      </c>
      <c r="DP190" s="775">
        <f t="shared" si="249"/>
        <v>0.8713920692292153</v>
      </c>
      <c r="DQ190" s="775">
        <f t="shared" si="250"/>
        <v>35.223117166032573</v>
      </c>
      <c r="DR190" s="775">
        <f t="shared" si="251"/>
        <v>60.123045672540329</v>
      </c>
      <c r="DS190" s="775">
        <f t="shared" si="252"/>
        <v>28.143164410210538</v>
      </c>
      <c r="DT190" s="775">
        <f t="shared" si="253"/>
        <v>43.294447191928747</v>
      </c>
      <c r="DU190" s="775">
        <f t="shared" si="254"/>
        <v>118.86947975333086</v>
      </c>
      <c r="DV190" s="775">
        <f t="shared" si="255"/>
        <v>4.8405130029863939</v>
      </c>
      <c r="DW190" s="775">
        <f t="shared" si="256"/>
        <v>13.408158286781257</v>
      </c>
      <c r="DX190" s="775">
        <f t="shared" si="257"/>
        <v>6.0946174030823892</v>
      </c>
      <c r="DY190" s="775">
        <f t="shared" si="258"/>
        <v>33.640400356280082</v>
      </c>
      <c r="DZ190" s="775">
        <f t="shared" si="259"/>
        <v>38.499123864040335</v>
      </c>
      <c r="EA190" s="775"/>
      <c r="EB190" s="775"/>
      <c r="EC190" s="775"/>
      <c r="ED190" s="775"/>
      <c r="EE190" s="775"/>
      <c r="EF190" s="775" t="b">
        <f t="shared" si="306"/>
        <v>0</v>
      </c>
      <c r="EG190" s="775">
        <f t="shared" si="260"/>
        <v>20.293276579694538</v>
      </c>
      <c r="EH190" s="775">
        <v>50</v>
      </c>
      <c r="EI190" s="775">
        <f t="shared" si="311"/>
        <v>25</v>
      </c>
      <c r="EJ190" s="673">
        <f t="shared" si="261"/>
        <v>4.7067234203054626</v>
      </c>
      <c r="EK190" s="673">
        <f t="shared" si="262"/>
        <v>2.2510196371999172</v>
      </c>
      <c r="EL190" s="775" t="b">
        <f t="shared" si="263"/>
        <v>0</v>
      </c>
      <c r="EM190" s="673"/>
      <c r="EN190" s="775">
        <f t="shared" si="264"/>
        <v>4.7067234203054626</v>
      </c>
      <c r="EO190" s="775">
        <f t="shared" si="265"/>
        <v>5.127977239369489E-2</v>
      </c>
      <c r="EP190" s="775">
        <f t="shared" si="266"/>
        <v>3.4297937749617723E-3</v>
      </c>
      <c r="EQ190" s="775">
        <f t="shared" si="267"/>
        <v>5.1308636318889365</v>
      </c>
      <c r="ER190" s="775">
        <f t="shared" si="268"/>
        <v>2.5710527864932269</v>
      </c>
      <c r="ES190" s="775">
        <f t="shared" si="269"/>
        <v>4.2028459660542232</v>
      </c>
      <c r="ET190" s="775">
        <f t="shared" si="270"/>
        <v>8.2644316782153524</v>
      </c>
      <c r="EU190" s="775">
        <f t="shared" si="271"/>
        <v>2.3694716598341961</v>
      </c>
      <c r="EV190" s="775">
        <f t="shared" si="272"/>
        <v>3.375312807230757</v>
      </c>
      <c r="EW190" s="775">
        <f t="shared" si="273"/>
        <v>64.099715492118619</v>
      </c>
      <c r="EX190" s="775">
        <f t="shared" si="274"/>
        <v>10.390982259322888</v>
      </c>
      <c r="EY190" s="775">
        <f t="shared" si="307"/>
        <v>22.137383748208261</v>
      </c>
      <c r="EZ190" s="775">
        <f t="shared" si="275"/>
        <v>10.062447158276482</v>
      </c>
      <c r="FA190" s="775">
        <f t="shared" si="276"/>
        <v>4.7067234203054626</v>
      </c>
      <c r="FB190" s="775">
        <f t="shared" si="277"/>
        <v>3.5852652066226365</v>
      </c>
      <c r="FC190" s="775"/>
      <c r="FD190" s="775"/>
      <c r="FE190" s="775"/>
      <c r="FF190" s="775"/>
      <c r="FG190" s="775"/>
      <c r="FH190" s="775"/>
      <c r="FI190" s="775"/>
      <c r="FJ190" s="775"/>
      <c r="FK190" s="775" t="b">
        <f t="shared" si="308"/>
        <v>0</v>
      </c>
      <c r="FL190" s="775">
        <f t="shared" si="278"/>
        <v>13.499123864040335</v>
      </c>
      <c r="FM190" s="775">
        <v>50</v>
      </c>
      <c r="FN190" s="775">
        <f t="shared" si="309"/>
        <v>25</v>
      </c>
      <c r="FO190" s="673">
        <f t="shared" si="312"/>
        <v>38.499123864040335</v>
      </c>
      <c r="FP190" s="673">
        <f t="shared" si="280"/>
        <v>24.403675819467587</v>
      </c>
      <c r="FQ190" s="775" t="b">
        <f t="shared" si="281"/>
        <v>0</v>
      </c>
      <c r="FR190" s="673"/>
      <c r="FS190" s="775">
        <f t="shared" si="282"/>
        <v>38.499123864040335</v>
      </c>
      <c r="FT190" s="775">
        <f t="shared" si="283"/>
        <v>8.4664871619181528E-2</v>
      </c>
      <c r="FU190" s="775">
        <f t="shared" si="284"/>
        <v>9.9735670835433554E-3</v>
      </c>
      <c r="FV190" s="775">
        <f t="shared" si="285"/>
        <v>1.6242297789194482</v>
      </c>
      <c r="FW190" s="775">
        <f t="shared" si="286"/>
        <v>0.8713920692292153</v>
      </c>
      <c r="FX190" s="775">
        <f t="shared" si="287"/>
        <v>45.240712245841202</v>
      </c>
      <c r="FY190" s="775">
        <f t="shared" si="288"/>
        <v>77.222279782721998</v>
      </c>
      <c r="FZ190" s="775">
        <f t="shared" si="289"/>
        <v>28.143164410210538</v>
      </c>
      <c r="GA190" s="775">
        <f t="shared" si="290"/>
        <v>43.294447191928747</v>
      </c>
      <c r="GB190" s="775">
        <f t="shared" si="291"/>
        <v>118.86947975333086</v>
      </c>
      <c r="GC190" s="775">
        <f t="shared" si="292"/>
        <v>4.8405130029863939</v>
      </c>
      <c r="GD190" s="775">
        <f t="shared" si="293"/>
        <v>4.8845170451225961</v>
      </c>
      <c r="GE190" s="775">
        <f t="shared" si="294"/>
        <v>2.220235020510271</v>
      </c>
      <c r="GF190" s="775">
        <f t="shared" si="295"/>
        <v>39.566102953380771</v>
      </c>
      <c r="GG190" s="775">
        <f t="shared" si="296"/>
        <v>38.499123864040335</v>
      </c>
    </row>
    <row r="191" spans="70:189">
      <c r="BR191" s="775"/>
      <c r="BS191" s="775"/>
      <c r="BT191" s="775"/>
      <c r="BU191" s="775"/>
      <c r="BV191" s="775"/>
      <c r="BW191" s="775"/>
      <c r="BX191" s="775"/>
      <c r="BY191" s="775" t="b">
        <f t="shared" si="297"/>
        <v>0</v>
      </c>
      <c r="BZ191" s="775">
        <f t="shared" si="229"/>
        <v>20.765906371393072</v>
      </c>
      <c r="CA191" s="775">
        <v>51</v>
      </c>
      <c r="CB191" s="775">
        <f t="shared" si="310"/>
        <v>25.5</v>
      </c>
      <c r="CC191" s="673">
        <f t="shared" si="230"/>
        <v>4.734093628606928</v>
      </c>
      <c r="CD191" s="91">
        <f t="shared" si="228"/>
        <v>2</v>
      </c>
      <c r="CE191" s="775" t="b">
        <f t="shared" si="231"/>
        <v>0</v>
      </c>
      <c r="CF191" s="673"/>
      <c r="CG191" s="775">
        <f t="shared" si="232"/>
        <v>4.734093628606928</v>
      </c>
      <c r="CH191" s="775">
        <f t="shared" si="233"/>
        <v>5.0294201863184618E-2</v>
      </c>
      <c r="CI191" s="775">
        <f t="shared" si="234"/>
        <v>3.3638749240671546E-3</v>
      </c>
      <c r="CJ191" s="775">
        <f t="shared" si="235"/>
        <v>5.1390199071307983</v>
      </c>
      <c r="CK191" s="775">
        <f t="shared" si="236"/>
        <v>2.5730664229912681</v>
      </c>
      <c r="CL191" s="775">
        <f t="shared" si="237"/>
        <v>4.2232862214790297</v>
      </c>
      <c r="CM191" s="775">
        <f t="shared" si="238"/>
        <v>8.3046251794304791</v>
      </c>
      <c r="CN191" s="775">
        <f t="shared" si="239"/>
        <v>2.3755886635838492</v>
      </c>
      <c r="CO191" s="775">
        <f t="shared" si="240"/>
        <v>3.3837813252722624</v>
      </c>
      <c r="CP191" s="775">
        <f t="shared" si="241"/>
        <v>62.867752328980771</v>
      </c>
      <c r="CQ191" s="775">
        <f t="shared" si="242"/>
        <v>10.191272989569908</v>
      </c>
      <c r="CR191" s="775">
        <f t="shared" si="298"/>
        <v>22.571190275334043</v>
      </c>
      <c r="CS191" s="775">
        <f t="shared" si="243"/>
        <v>10.259631943333655</v>
      </c>
      <c r="CT191" s="775">
        <f t="shared" si="244"/>
        <v>4.734093628606928</v>
      </c>
      <c r="CU191" s="775">
        <f t="shared" si="245"/>
        <v>3.5968752531305928</v>
      </c>
      <c r="CV191" s="775"/>
      <c r="CW191" s="775"/>
      <c r="CX191" s="775"/>
      <c r="CY191" s="775"/>
      <c r="CZ191" s="775"/>
      <c r="DA191" s="775"/>
      <c r="DB191" s="775"/>
      <c r="DC191" s="775"/>
      <c r="DD191" s="775" t="b">
        <f t="shared" si="299"/>
        <v>0</v>
      </c>
      <c r="DE191" s="775">
        <f t="shared" si="300"/>
        <v>9.0414390696593969</v>
      </c>
      <c r="DF191" s="776">
        <v>52</v>
      </c>
      <c r="DG191" s="775">
        <f t="shared" si="301"/>
        <v>24.5</v>
      </c>
      <c r="DH191" s="673">
        <f t="shared" si="302"/>
        <v>33.541439069659397</v>
      </c>
      <c r="DI191" s="673">
        <f t="shared" si="246"/>
        <v>19</v>
      </c>
      <c r="DJ191" s="775" t="b">
        <f t="shared" si="247"/>
        <v>0</v>
      </c>
      <c r="DK191" s="673"/>
      <c r="DL191" s="775">
        <f t="shared" si="303"/>
        <v>33.541439069659397</v>
      </c>
      <c r="DM191" s="775">
        <f t="shared" si="304"/>
        <v>8.6143498847223055E-2</v>
      </c>
      <c r="DN191" s="775">
        <f t="shared" si="305"/>
        <v>1.0147750160519579E-2</v>
      </c>
      <c r="DO191" s="775">
        <f t="shared" si="248"/>
        <v>1.6188151325849485</v>
      </c>
      <c r="DP191" s="775">
        <f t="shared" si="249"/>
        <v>0.86983715437704234</v>
      </c>
      <c r="DQ191" s="775">
        <f t="shared" si="250"/>
        <v>35.070985849889261</v>
      </c>
      <c r="DR191" s="775">
        <f t="shared" si="251"/>
        <v>59.863369675507094</v>
      </c>
      <c r="DS191" s="775">
        <f t="shared" si="252"/>
        <v>28.041419056405935</v>
      </c>
      <c r="DT191" s="775">
        <f t="shared" si="253"/>
        <v>43.149718523311869</v>
      </c>
      <c r="DU191" s="775">
        <f t="shared" si="254"/>
        <v>120.94547238150116</v>
      </c>
      <c r="DV191" s="775">
        <f t="shared" si="255"/>
        <v>4.9250500038348441</v>
      </c>
      <c r="DW191" s="775">
        <f t="shared" si="256"/>
        <v>13.178011285718686</v>
      </c>
      <c r="DX191" s="775">
        <f t="shared" si="257"/>
        <v>5.9900051298721291</v>
      </c>
      <c r="DY191" s="775">
        <f t="shared" si="258"/>
        <v>33.541439069659397</v>
      </c>
      <c r="DZ191" s="775">
        <f t="shared" si="259"/>
        <v>38.418273915525766</v>
      </c>
      <c r="EA191" s="775"/>
      <c r="EB191" s="775"/>
      <c r="EC191" s="775"/>
      <c r="ED191" s="775"/>
      <c r="EE191" s="775"/>
      <c r="EF191" s="775" t="b">
        <f t="shared" si="306"/>
        <v>0</v>
      </c>
      <c r="EG191" s="775">
        <f t="shared" si="260"/>
        <v>20.765906371393072</v>
      </c>
      <c r="EH191" s="775">
        <v>51</v>
      </c>
      <c r="EI191" s="775">
        <f t="shared" si="311"/>
        <v>25.5</v>
      </c>
      <c r="EJ191" s="673">
        <f t="shared" si="261"/>
        <v>4.734093628606928</v>
      </c>
      <c r="EK191" s="673">
        <f t="shared" si="262"/>
        <v>2.2510196371999172</v>
      </c>
      <c r="EL191" s="775" t="b">
        <f t="shared" si="263"/>
        <v>0</v>
      </c>
      <c r="EM191" s="673"/>
      <c r="EN191" s="775">
        <f t="shared" si="264"/>
        <v>4.734093628606928</v>
      </c>
      <c r="EO191" s="775">
        <f t="shared" si="265"/>
        <v>5.0294201863184618E-2</v>
      </c>
      <c r="EP191" s="775">
        <f t="shared" si="266"/>
        <v>3.3638749240671546E-3</v>
      </c>
      <c r="EQ191" s="775">
        <f t="shared" si="267"/>
        <v>5.1390199071307983</v>
      </c>
      <c r="ER191" s="775">
        <f t="shared" si="268"/>
        <v>2.5730664229912681</v>
      </c>
      <c r="ES191" s="775">
        <f t="shared" si="269"/>
        <v>4.2232862214790297</v>
      </c>
      <c r="ET191" s="775">
        <f t="shared" si="270"/>
        <v>8.3046251794304791</v>
      </c>
      <c r="EU191" s="775">
        <f t="shared" si="271"/>
        <v>2.3755886635838492</v>
      </c>
      <c r="EV191" s="775">
        <f t="shared" si="272"/>
        <v>3.3837813252722624</v>
      </c>
      <c r="EW191" s="775">
        <f t="shared" si="273"/>
        <v>62.867752328980771</v>
      </c>
      <c r="EX191" s="775">
        <f t="shared" si="274"/>
        <v>10.191272989569908</v>
      </c>
      <c r="EY191" s="775">
        <f t="shared" si="307"/>
        <v>22.571190275334043</v>
      </c>
      <c r="EZ191" s="775">
        <f t="shared" si="275"/>
        <v>10.259631943333655</v>
      </c>
      <c r="FA191" s="775">
        <f t="shared" si="276"/>
        <v>4.734093628606928</v>
      </c>
      <c r="FB191" s="775">
        <f t="shared" si="277"/>
        <v>3.5968752531305928</v>
      </c>
      <c r="FC191" s="775"/>
      <c r="FD191" s="775"/>
      <c r="FE191" s="775"/>
      <c r="FF191" s="775"/>
      <c r="FG191" s="775"/>
      <c r="FH191" s="775"/>
      <c r="FI191" s="775"/>
      <c r="FJ191" s="775"/>
      <c r="FK191" s="775" t="b">
        <f t="shared" si="308"/>
        <v>0</v>
      </c>
      <c r="FL191" s="775">
        <f t="shared" si="278"/>
        <v>13.918273915525766</v>
      </c>
      <c r="FM191" s="775">
        <v>51</v>
      </c>
      <c r="FN191" s="775">
        <f t="shared" si="309"/>
        <v>24.5</v>
      </c>
      <c r="FO191" s="673">
        <f t="shared" si="312"/>
        <v>38.418273915525766</v>
      </c>
      <c r="FP191" s="673">
        <f t="shared" si="280"/>
        <v>24.403675819467587</v>
      </c>
      <c r="FQ191" s="775" t="b">
        <f t="shared" si="281"/>
        <v>0</v>
      </c>
      <c r="FR191" s="673"/>
      <c r="FS191" s="775">
        <f t="shared" si="282"/>
        <v>38.418273915525766</v>
      </c>
      <c r="FT191" s="775">
        <f t="shared" si="283"/>
        <v>8.6143498847223055E-2</v>
      </c>
      <c r="FU191" s="775">
        <f t="shared" si="284"/>
        <v>1.0147750160519579E-2</v>
      </c>
      <c r="FV191" s="775">
        <f t="shared" si="285"/>
        <v>1.6188151325849485</v>
      </c>
      <c r="FW191" s="775">
        <f t="shared" si="286"/>
        <v>0.86983715437704234</v>
      </c>
      <c r="FX191" s="775">
        <f t="shared" si="287"/>
        <v>45.045314176306974</v>
      </c>
      <c r="FY191" s="775">
        <f t="shared" si="288"/>
        <v>76.888750895895882</v>
      </c>
      <c r="FZ191" s="775">
        <f t="shared" si="289"/>
        <v>28.041419056405935</v>
      </c>
      <c r="GA191" s="775">
        <f t="shared" si="290"/>
        <v>43.149718523311869</v>
      </c>
      <c r="GB191" s="775">
        <f t="shared" si="291"/>
        <v>120.94547238150116</v>
      </c>
      <c r="GC191" s="775">
        <f t="shared" si="292"/>
        <v>4.9250500038348441</v>
      </c>
      <c r="GD191" s="775">
        <f t="shared" si="293"/>
        <v>4.8006757803097964</v>
      </c>
      <c r="GE191" s="775">
        <f t="shared" si="294"/>
        <v>2.1821253546862711</v>
      </c>
      <c r="GF191" s="775">
        <f t="shared" si="295"/>
        <v>39.460656835797693</v>
      </c>
      <c r="GG191" s="775">
        <f t="shared" si="296"/>
        <v>38.418273915525766</v>
      </c>
    </row>
    <row r="192" spans="70:189">
      <c r="BR192" s="775"/>
      <c r="BS192" s="775"/>
      <c r="BT192" s="775"/>
      <c r="BU192" s="775"/>
      <c r="BV192" s="775"/>
      <c r="BW192" s="775"/>
      <c r="BX192" s="775"/>
      <c r="BY192" s="775" t="b">
        <f t="shared" si="297"/>
        <v>0</v>
      </c>
      <c r="BZ192" s="775">
        <f t="shared" si="229"/>
        <v>21.238953773665003</v>
      </c>
      <c r="CA192" s="775">
        <v>52</v>
      </c>
      <c r="CB192" s="775">
        <f t="shared" si="310"/>
        <v>26</v>
      </c>
      <c r="CC192" s="673">
        <f t="shared" si="230"/>
        <v>4.7610462263349982</v>
      </c>
      <c r="CD192" s="91">
        <f t="shared" si="228"/>
        <v>2</v>
      </c>
      <c r="CE192" s="775" t="b">
        <f t="shared" si="231"/>
        <v>0</v>
      </c>
      <c r="CF192" s="673"/>
      <c r="CG192" s="775">
        <f t="shared" si="232"/>
        <v>4.7610462263349982</v>
      </c>
      <c r="CH192" s="775">
        <f t="shared" si="233"/>
        <v>4.9346166114482885E-2</v>
      </c>
      <c r="CI192" s="775">
        <f t="shared" si="234"/>
        <v>3.3004665476731474E-3</v>
      </c>
      <c r="CJ192" s="775">
        <f t="shared" si="235"/>
        <v>5.1468974438871813</v>
      </c>
      <c r="CK192" s="775">
        <f t="shared" si="236"/>
        <v>2.5750078426632985</v>
      </c>
      <c r="CL192" s="775">
        <f t="shared" si="237"/>
        <v>4.2434260834351996</v>
      </c>
      <c r="CM192" s="775">
        <f t="shared" si="238"/>
        <v>8.3442279901187124</v>
      </c>
      <c r="CN192" s="775">
        <f t="shared" si="239"/>
        <v>2.38160061776132</v>
      </c>
      <c r="CO192" s="775">
        <f t="shared" si="240"/>
        <v>3.39210479410447</v>
      </c>
      <c r="CP192" s="775">
        <f t="shared" si="241"/>
        <v>61.682707643103605</v>
      </c>
      <c r="CQ192" s="775">
        <f t="shared" si="242"/>
        <v>9.9991695112172074</v>
      </c>
      <c r="CR192" s="775">
        <f t="shared" si="298"/>
        <v>23.004826704598308</v>
      </c>
      <c r="CS192" s="775">
        <f t="shared" si="243"/>
        <v>10.456739411181049</v>
      </c>
      <c r="CT192" s="775">
        <f t="shared" si="244"/>
        <v>4.7610462263349982</v>
      </c>
      <c r="CU192" s="775">
        <f t="shared" si="245"/>
        <v>3.6082837178079088</v>
      </c>
      <c r="CV192" s="775"/>
      <c r="CW192" s="775"/>
      <c r="CX192" s="775"/>
      <c r="CY192" s="775"/>
      <c r="CZ192" s="775"/>
      <c r="DA192" s="775"/>
      <c r="DB192" s="775"/>
      <c r="DC192" s="775"/>
      <c r="DD192" s="775" t="b">
        <f t="shared" si="299"/>
        <v>0</v>
      </c>
      <c r="DE192" s="775">
        <f t="shared" si="300"/>
        <v>9.4405751056128508</v>
      </c>
      <c r="DF192" s="776">
        <v>53</v>
      </c>
      <c r="DG192" s="775">
        <f t="shared" si="301"/>
        <v>24</v>
      </c>
      <c r="DH192" s="673">
        <f t="shared" si="302"/>
        <v>33.440575105612851</v>
      </c>
      <c r="DI192" s="673">
        <f t="shared" si="246"/>
        <v>19</v>
      </c>
      <c r="DJ192" s="775" t="b">
        <f t="shared" si="247"/>
        <v>0</v>
      </c>
      <c r="DK192" s="673"/>
      <c r="DL192" s="775">
        <f t="shared" si="303"/>
        <v>33.440575105612851</v>
      </c>
      <c r="DM192" s="775">
        <f t="shared" si="304"/>
        <v>8.7679246207897063E-2</v>
      </c>
      <c r="DN192" s="775">
        <f t="shared" si="305"/>
        <v>1.0328662019619199E-2</v>
      </c>
      <c r="DO192" s="775">
        <f t="shared" si="248"/>
        <v>1.6132407294291244</v>
      </c>
      <c r="DP192" s="775">
        <f t="shared" si="249"/>
        <v>0.86823095234873315</v>
      </c>
      <c r="DQ192" s="775">
        <f t="shared" si="250"/>
        <v>34.916395094881054</v>
      </c>
      <c r="DR192" s="775">
        <f t="shared" si="251"/>
        <v>59.599495612910665</v>
      </c>
      <c r="DS192" s="775">
        <f t="shared" si="252"/>
        <v>27.937895700379539</v>
      </c>
      <c r="DT192" s="775">
        <f t="shared" si="253"/>
        <v>43.00240152007499</v>
      </c>
      <c r="DU192" s="775">
        <f t="shared" si="254"/>
        <v>123.10166167588747</v>
      </c>
      <c r="DV192" s="775">
        <f t="shared" si="255"/>
        <v>5.0128527126381064</v>
      </c>
      <c r="DW192" s="775">
        <f t="shared" si="256"/>
        <v>12.947191600031744</v>
      </c>
      <c r="DX192" s="775">
        <f t="shared" si="257"/>
        <v>5.8850870909235189</v>
      </c>
      <c r="DY192" s="775">
        <f t="shared" si="258"/>
        <v>33.440575105612851</v>
      </c>
      <c r="DZ192" s="775">
        <f t="shared" si="259"/>
        <v>38.335759440505832</v>
      </c>
      <c r="EA192" s="775"/>
      <c r="EB192" s="775"/>
      <c r="EC192" s="775"/>
      <c r="ED192" s="775"/>
      <c r="EE192" s="775"/>
      <c r="EF192" s="775" t="b">
        <f t="shared" si="306"/>
        <v>0</v>
      </c>
      <c r="EG192" s="775">
        <f t="shared" si="260"/>
        <v>21.238953773665003</v>
      </c>
      <c r="EH192" s="775">
        <v>52</v>
      </c>
      <c r="EI192" s="775">
        <f t="shared" si="311"/>
        <v>26</v>
      </c>
      <c r="EJ192" s="673">
        <f t="shared" si="261"/>
        <v>4.7610462263349982</v>
      </c>
      <c r="EK192" s="673">
        <f t="shared" si="262"/>
        <v>2.2510196371999172</v>
      </c>
      <c r="EL192" s="775" t="b">
        <f t="shared" si="263"/>
        <v>0</v>
      </c>
      <c r="EM192" s="673"/>
      <c r="EN192" s="775">
        <f t="shared" si="264"/>
        <v>4.7610462263349982</v>
      </c>
      <c r="EO192" s="775">
        <f t="shared" si="265"/>
        <v>4.9346166114482885E-2</v>
      </c>
      <c r="EP192" s="775">
        <f t="shared" si="266"/>
        <v>3.3004665476731474E-3</v>
      </c>
      <c r="EQ192" s="775">
        <f t="shared" si="267"/>
        <v>5.1468974438871813</v>
      </c>
      <c r="ER192" s="775">
        <f t="shared" si="268"/>
        <v>2.5750078426632985</v>
      </c>
      <c r="ES192" s="775">
        <f t="shared" si="269"/>
        <v>4.2434260834351996</v>
      </c>
      <c r="ET192" s="775">
        <f t="shared" si="270"/>
        <v>8.3442279901187124</v>
      </c>
      <c r="EU192" s="775">
        <f t="shared" si="271"/>
        <v>2.38160061776132</v>
      </c>
      <c r="EV192" s="775">
        <f t="shared" si="272"/>
        <v>3.39210479410447</v>
      </c>
      <c r="EW192" s="775">
        <f t="shared" si="273"/>
        <v>61.682707643103605</v>
      </c>
      <c r="EX192" s="775">
        <f t="shared" si="274"/>
        <v>9.9991695112172074</v>
      </c>
      <c r="EY192" s="775">
        <f t="shared" si="307"/>
        <v>23.004826704598308</v>
      </c>
      <c r="EZ192" s="775">
        <f t="shared" si="275"/>
        <v>10.456739411181049</v>
      </c>
      <c r="FA192" s="775">
        <f t="shared" si="276"/>
        <v>4.7610462263349982</v>
      </c>
      <c r="FB192" s="775">
        <f t="shared" si="277"/>
        <v>3.6082837178079088</v>
      </c>
      <c r="FC192" s="775"/>
      <c r="FD192" s="775"/>
      <c r="FE192" s="775"/>
      <c r="FF192" s="775"/>
      <c r="FG192" s="775"/>
      <c r="FH192" s="775"/>
      <c r="FI192" s="775"/>
      <c r="FJ192" s="775"/>
      <c r="FK192" s="775" t="b">
        <f t="shared" si="308"/>
        <v>0</v>
      </c>
      <c r="FL192" s="775">
        <f t="shared" si="278"/>
        <v>14.335759440505832</v>
      </c>
      <c r="FM192" s="775">
        <v>52</v>
      </c>
      <c r="FN192" s="775">
        <f t="shared" si="309"/>
        <v>24</v>
      </c>
      <c r="FO192" s="673">
        <f t="shared" si="312"/>
        <v>38.335759440505832</v>
      </c>
      <c r="FP192" s="673">
        <f t="shared" si="280"/>
        <v>24.403675819467587</v>
      </c>
      <c r="FQ192" s="775" t="b">
        <f t="shared" si="281"/>
        <v>1</v>
      </c>
      <c r="FR192" s="673"/>
      <c r="FS192" s="775">
        <f t="shared" si="282"/>
        <v>38.335759440505832</v>
      </c>
      <c r="FT192" s="775">
        <f t="shared" si="283"/>
        <v>8.7679246207897063E-2</v>
      </c>
      <c r="FU192" s="775">
        <f t="shared" si="284"/>
        <v>1.0328662019619199E-2</v>
      </c>
      <c r="FV192" s="775">
        <f t="shared" si="285"/>
        <v>1.6132407294291244</v>
      </c>
      <c r="FW192" s="775">
        <f t="shared" si="286"/>
        <v>0.86823095234873315</v>
      </c>
      <c r="FX192" s="775">
        <f t="shared" si="287"/>
        <v>44.846757193680283</v>
      </c>
      <c r="FY192" s="775">
        <f t="shared" si="288"/>
        <v>76.549829996908031</v>
      </c>
      <c r="FZ192" s="775">
        <f t="shared" si="289"/>
        <v>27.937895700379539</v>
      </c>
      <c r="GA192" s="775">
        <f t="shared" si="290"/>
        <v>43.00240152007499</v>
      </c>
      <c r="GB192" s="775">
        <f t="shared" si="291"/>
        <v>123.10166167588747</v>
      </c>
      <c r="GC192" s="775">
        <f t="shared" si="292"/>
        <v>5.0128527126381064</v>
      </c>
      <c r="GD192" s="775">
        <f t="shared" si="293"/>
        <v>4.7165894602520124</v>
      </c>
      <c r="GE192" s="775">
        <f t="shared" si="294"/>
        <v>2.143904300114551</v>
      </c>
      <c r="GF192" s="775">
        <f t="shared" si="295"/>
        <v>39.353128408831516</v>
      </c>
      <c r="GG192" s="775">
        <f t="shared" si="296"/>
        <v>38.335759440505832</v>
      </c>
    </row>
    <row r="193" spans="70:189">
      <c r="BR193" s="775"/>
      <c r="BS193" s="775"/>
      <c r="BT193" s="775"/>
      <c r="BU193" s="775"/>
      <c r="BV193" s="775"/>
      <c r="BW193" s="775"/>
      <c r="BX193" s="775"/>
      <c r="BY193" s="775" t="b">
        <f t="shared" si="297"/>
        <v>0</v>
      </c>
      <c r="BZ193" s="775">
        <f t="shared" si="229"/>
        <v>21.712404630953756</v>
      </c>
      <c r="CA193" s="775">
        <v>53</v>
      </c>
      <c r="CB193" s="775">
        <f t="shared" si="310"/>
        <v>26.5</v>
      </c>
      <c r="CC193" s="673">
        <f t="shared" si="230"/>
        <v>4.7875953690462456</v>
      </c>
      <c r="CD193" s="91">
        <f t="shared" si="228"/>
        <v>2</v>
      </c>
      <c r="CE193" s="775" t="b">
        <f t="shared" si="231"/>
        <v>0</v>
      </c>
      <c r="CF193" s="673"/>
      <c r="CG193" s="775">
        <f t="shared" si="232"/>
        <v>4.7875953690462456</v>
      </c>
      <c r="CH193" s="775">
        <f t="shared" si="233"/>
        <v>4.8433554297962408E-2</v>
      </c>
      <c r="CI193" s="775">
        <f t="shared" si="234"/>
        <v>3.2394274638170863E-3</v>
      </c>
      <c r="CJ193" s="775">
        <f t="shared" si="235"/>
        <v>5.1545103604217113</v>
      </c>
      <c r="CK193" s="775">
        <f t="shared" si="236"/>
        <v>2.5768808773470075</v>
      </c>
      <c r="CL193" s="775">
        <f t="shared" si="237"/>
        <v>4.2632756181996641</v>
      </c>
      <c r="CM193" s="775">
        <f t="shared" si="238"/>
        <v>8.3832599045001217</v>
      </c>
      <c r="CN193" s="775">
        <f t="shared" si="239"/>
        <v>2.3875112975563879</v>
      </c>
      <c r="CO193" s="775">
        <f t="shared" si="240"/>
        <v>3.4002884192770364</v>
      </c>
      <c r="CP193" s="775">
        <f t="shared" si="241"/>
        <v>60.541942872453014</v>
      </c>
      <c r="CQ193" s="775">
        <f t="shared" si="242"/>
        <v>9.8142440961371928</v>
      </c>
      <c r="CR193" s="775">
        <f t="shared" si="298"/>
        <v>23.438296372309757</v>
      </c>
      <c r="CS193" s="775">
        <f t="shared" si="243"/>
        <v>10.653771078322617</v>
      </c>
      <c r="CT193" s="775">
        <f t="shared" si="244"/>
        <v>4.7875953690462456</v>
      </c>
      <c r="CU193" s="775">
        <f t="shared" si="245"/>
        <v>3.6194978752083875</v>
      </c>
      <c r="CV193" s="775"/>
      <c r="CW193" s="775"/>
      <c r="CX193" s="775"/>
      <c r="CY193" s="775"/>
      <c r="CZ193" s="775"/>
      <c r="DA193" s="775"/>
      <c r="DB193" s="775"/>
      <c r="DC193" s="775"/>
      <c r="DD193" s="775" t="b">
        <f t="shared" si="299"/>
        <v>0</v>
      </c>
      <c r="DE193" s="775">
        <f t="shared" si="300"/>
        <v>9.8377319932533211</v>
      </c>
      <c r="DF193" s="776">
        <v>54</v>
      </c>
      <c r="DG193" s="775">
        <f t="shared" si="301"/>
        <v>23.5</v>
      </c>
      <c r="DH193" s="673">
        <f t="shared" si="302"/>
        <v>33.337731993253321</v>
      </c>
      <c r="DI193" s="673">
        <f t="shared" si="246"/>
        <v>19</v>
      </c>
      <c r="DJ193" s="775" t="b">
        <f t="shared" si="247"/>
        <v>0</v>
      </c>
      <c r="DK193" s="673"/>
      <c r="DL193" s="775">
        <f t="shared" si="303"/>
        <v>33.337731993253321</v>
      </c>
      <c r="DM193" s="775">
        <f t="shared" si="304"/>
        <v>8.9275580671781318E-2</v>
      </c>
      <c r="DN193" s="775">
        <f t="shared" si="305"/>
        <v>1.0516711071827469E-2</v>
      </c>
      <c r="DO193" s="775">
        <f t="shared" si="248"/>
        <v>1.6074990100836755</v>
      </c>
      <c r="DP193" s="775">
        <f t="shared" si="249"/>
        <v>0.86657077915100822</v>
      </c>
      <c r="DQ193" s="775">
        <f t="shared" si="250"/>
        <v>34.75925263584076</v>
      </c>
      <c r="DR193" s="775">
        <f t="shared" si="251"/>
        <v>59.331265995485268</v>
      </c>
      <c r="DS193" s="775">
        <f t="shared" si="252"/>
        <v>27.832525599485884</v>
      </c>
      <c r="DT193" s="775">
        <f t="shared" si="253"/>
        <v>42.852394982666603</v>
      </c>
      <c r="DU193" s="775">
        <f t="shared" si="254"/>
        <v>125.34291526318097</v>
      </c>
      <c r="DV193" s="775">
        <f t="shared" si="255"/>
        <v>5.1041193452068425</v>
      </c>
      <c r="DW193" s="775">
        <f t="shared" si="256"/>
        <v>12.715683185232082</v>
      </c>
      <c r="DX193" s="775">
        <f t="shared" si="257"/>
        <v>5.7798559932873097</v>
      </c>
      <c r="DY193" s="775">
        <f t="shared" si="258"/>
        <v>33.337731993253321</v>
      </c>
      <c r="DZ193" s="775">
        <f t="shared" si="259"/>
        <v>38.251510988706166</v>
      </c>
      <c r="EA193" s="775"/>
      <c r="EB193" s="775"/>
      <c r="EC193" s="775"/>
      <c r="ED193" s="775"/>
      <c r="EE193" s="775"/>
      <c r="EF193" s="775" t="b">
        <f t="shared" si="306"/>
        <v>0</v>
      </c>
      <c r="EG193" s="775">
        <f t="shared" si="260"/>
        <v>21.712404630953756</v>
      </c>
      <c r="EH193" s="775">
        <v>53</v>
      </c>
      <c r="EI193" s="775">
        <f t="shared" si="311"/>
        <v>26.5</v>
      </c>
      <c r="EJ193" s="673">
        <f t="shared" si="261"/>
        <v>4.7875953690462456</v>
      </c>
      <c r="EK193" s="673">
        <f t="shared" si="262"/>
        <v>2.2510196371999172</v>
      </c>
      <c r="EL193" s="775" t="b">
        <f t="shared" si="263"/>
        <v>0</v>
      </c>
      <c r="EM193" s="673"/>
      <c r="EN193" s="775">
        <f t="shared" si="264"/>
        <v>4.7875953690462456</v>
      </c>
      <c r="EO193" s="775">
        <f t="shared" si="265"/>
        <v>4.8433554297962408E-2</v>
      </c>
      <c r="EP193" s="775">
        <f t="shared" si="266"/>
        <v>3.2394274638170863E-3</v>
      </c>
      <c r="EQ193" s="775">
        <f t="shared" si="267"/>
        <v>5.1545103604217113</v>
      </c>
      <c r="ER193" s="775">
        <f t="shared" si="268"/>
        <v>2.5768808773470075</v>
      </c>
      <c r="ES193" s="775">
        <f t="shared" si="269"/>
        <v>4.2632756181996641</v>
      </c>
      <c r="ET193" s="775">
        <f t="shared" si="270"/>
        <v>8.3832599045001217</v>
      </c>
      <c r="EU193" s="775">
        <f t="shared" si="271"/>
        <v>2.3875112975563879</v>
      </c>
      <c r="EV193" s="775">
        <f t="shared" si="272"/>
        <v>3.4002884192770364</v>
      </c>
      <c r="EW193" s="775">
        <f t="shared" si="273"/>
        <v>60.541942872453014</v>
      </c>
      <c r="EX193" s="775">
        <f t="shared" si="274"/>
        <v>9.8142440961371928</v>
      </c>
      <c r="EY193" s="775">
        <f t="shared" si="307"/>
        <v>23.438296372309757</v>
      </c>
      <c r="EZ193" s="775">
        <f t="shared" si="275"/>
        <v>10.653771078322617</v>
      </c>
      <c r="FA193" s="775">
        <f t="shared" si="276"/>
        <v>4.7875953690462456</v>
      </c>
      <c r="FB193" s="775">
        <f t="shared" si="277"/>
        <v>3.6194978752083875</v>
      </c>
      <c r="FC193" s="775"/>
      <c r="FD193" s="775"/>
      <c r="FE193" s="775"/>
      <c r="FF193" s="775"/>
      <c r="FG193" s="775"/>
      <c r="FH193" s="775"/>
      <c r="FI193" s="775"/>
      <c r="FJ193" s="775"/>
      <c r="FK193" s="775" t="b">
        <f t="shared" si="308"/>
        <v>0</v>
      </c>
      <c r="FL193" s="775">
        <f t="shared" si="278"/>
        <v>14.751510988706166</v>
      </c>
      <c r="FM193" s="775">
        <v>53</v>
      </c>
      <c r="FN193" s="775">
        <f t="shared" si="309"/>
        <v>23.5</v>
      </c>
      <c r="FO193" s="673">
        <f t="shared" si="312"/>
        <v>38.251510988706166</v>
      </c>
      <c r="FP193" s="673">
        <f t="shared" si="280"/>
        <v>24.403675819467587</v>
      </c>
      <c r="FQ193" s="775" t="b">
        <f t="shared" si="281"/>
        <v>1</v>
      </c>
      <c r="FR193" s="673"/>
      <c r="FS193" s="775">
        <f t="shared" si="282"/>
        <v>38.251510988706166</v>
      </c>
      <c r="FT193" s="775">
        <f t="shared" si="283"/>
        <v>8.9275580671781318E-2</v>
      </c>
      <c r="FU193" s="775">
        <f t="shared" si="284"/>
        <v>1.0516711071827469E-2</v>
      </c>
      <c r="FV193" s="775">
        <f t="shared" si="285"/>
        <v>1.6074990100836755</v>
      </c>
      <c r="FW193" s="775">
        <f t="shared" si="286"/>
        <v>0.86657077915100822</v>
      </c>
      <c r="FX193" s="775">
        <f t="shared" si="287"/>
        <v>44.64492279221222</v>
      </c>
      <c r="FY193" s="775">
        <f t="shared" si="288"/>
        <v>76.205314805917013</v>
      </c>
      <c r="FZ193" s="775">
        <f t="shared" si="289"/>
        <v>27.832525599485884</v>
      </c>
      <c r="GA193" s="775">
        <f t="shared" si="290"/>
        <v>42.852394982666603</v>
      </c>
      <c r="GB193" s="775">
        <f t="shared" si="291"/>
        <v>125.34291526318097</v>
      </c>
      <c r="GC193" s="775">
        <f t="shared" si="292"/>
        <v>5.1041193452068425</v>
      </c>
      <c r="GD193" s="775">
        <f t="shared" si="293"/>
        <v>4.6322522400319102</v>
      </c>
      <c r="GE193" s="775">
        <f t="shared" si="294"/>
        <v>2.1055692000145045</v>
      </c>
      <c r="GF193" s="775">
        <f t="shared" si="295"/>
        <v>39.243432901340036</v>
      </c>
      <c r="GG193" s="775">
        <f t="shared" si="296"/>
        <v>38.251510988706166</v>
      </c>
    </row>
    <row r="194" spans="70:189">
      <c r="BR194" s="775"/>
      <c r="BS194" s="775"/>
      <c r="BT194" s="775"/>
      <c r="BU194" s="775"/>
      <c r="BV194" s="775"/>
      <c r="BW194" s="775"/>
      <c r="BX194" s="775"/>
      <c r="BY194" s="775" t="b">
        <f t="shared" si="297"/>
        <v>0</v>
      </c>
      <c r="BZ194" s="775">
        <f t="shared" si="229"/>
        <v>22.186245523030472</v>
      </c>
      <c r="CA194" s="775">
        <v>54</v>
      </c>
      <c r="CB194" s="775">
        <f t="shared" si="310"/>
        <v>27</v>
      </c>
      <c r="CC194" s="673">
        <f t="shared" si="230"/>
        <v>4.8137544769695273</v>
      </c>
      <c r="CD194" s="91">
        <f t="shared" si="228"/>
        <v>2</v>
      </c>
      <c r="CE194" s="775" t="b">
        <f t="shared" si="231"/>
        <v>0</v>
      </c>
      <c r="CF194" s="673"/>
      <c r="CG194" s="775">
        <f t="shared" si="232"/>
        <v>4.8137544769695273</v>
      </c>
      <c r="CH194" s="775">
        <f t="shared" si="233"/>
        <v>4.7554411170707703E-2</v>
      </c>
      <c r="CI194" s="775">
        <f t="shared" si="234"/>
        <v>3.1806268981279654E-3</v>
      </c>
      <c r="CJ194" s="775">
        <f t="shared" si="235"/>
        <v>5.1618718344350896</v>
      </c>
      <c r="CK194" s="775">
        <f t="shared" si="236"/>
        <v>2.5786890918974303</v>
      </c>
      <c r="CL194" s="775">
        <f t="shared" si="237"/>
        <v>4.2828443724205298</v>
      </c>
      <c r="CM194" s="775">
        <f t="shared" si="238"/>
        <v>8.4217396950021683</v>
      </c>
      <c r="CN194" s="775">
        <f t="shared" si="239"/>
        <v>2.3933242743381085</v>
      </c>
      <c r="CO194" s="775">
        <f t="shared" si="240"/>
        <v>3.4083371255504669</v>
      </c>
      <c r="CP194" s="775">
        <f t="shared" si="241"/>
        <v>59.44301396338463</v>
      </c>
      <c r="CQ194" s="775">
        <f t="shared" si="242"/>
        <v>9.6361005472818064</v>
      </c>
      <c r="CR194" s="775">
        <f t="shared" si="298"/>
        <v>23.871602487620624</v>
      </c>
      <c r="CS194" s="775">
        <f t="shared" si="243"/>
        <v>10.850728403463918</v>
      </c>
      <c r="CT194" s="775">
        <f t="shared" si="244"/>
        <v>4.8137544769695273</v>
      </c>
      <c r="CU194" s="775">
        <f t="shared" si="245"/>
        <v>3.630524606168346</v>
      </c>
      <c r="CV194" s="775"/>
      <c r="CW194" s="775"/>
      <c r="CX194" s="775"/>
      <c r="CY194" s="775"/>
      <c r="CZ194" s="775"/>
      <c r="DA194" s="775"/>
      <c r="DB194" s="775"/>
      <c r="DC194" s="775"/>
      <c r="DD194" s="775" t="b">
        <f t="shared" si="299"/>
        <v>0</v>
      </c>
      <c r="DE194" s="775">
        <f t="shared" si="300"/>
        <v>10.232828496649688</v>
      </c>
      <c r="DF194" s="776">
        <v>55</v>
      </c>
      <c r="DG194" s="775">
        <f t="shared" si="301"/>
        <v>23</v>
      </c>
      <c r="DH194" s="673">
        <f t="shared" si="302"/>
        <v>33.232828496649688</v>
      </c>
      <c r="DI194" s="673">
        <f t="shared" si="246"/>
        <v>19</v>
      </c>
      <c r="DJ194" s="775" t="b">
        <f t="shared" si="247"/>
        <v>0</v>
      </c>
      <c r="DK194" s="673"/>
      <c r="DL194" s="775">
        <f t="shared" si="303"/>
        <v>33.232828496649688</v>
      </c>
      <c r="DM194" s="775">
        <f t="shared" si="304"/>
        <v>9.0936259463856153E-2</v>
      </c>
      <c r="DN194" s="775">
        <f t="shared" si="305"/>
        <v>1.0712339920253238E-2</v>
      </c>
      <c r="DO194" s="775">
        <f t="shared" si="248"/>
        <v>1.6015819135319225</v>
      </c>
      <c r="DP194" s="775">
        <f t="shared" si="249"/>
        <v>0.86485375560767774</v>
      </c>
      <c r="DQ194" s="775">
        <f t="shared" si="250"/>
        <v>34.599460691883806</v>
      </c>
      <c r="DR194" s="775">
        <f t="shared" si="251"/>
        <v>59.058513919076418</v>
      </c>
      <c r="DS194" s="775">
        <f t="shared" si="252"/>
        <v>27.72523582663764</v>
      </c>
      <c r="DT194" s="775">
        <f t="shared" si="253"/>
        <v>42.699591506326243</v>
      </c>
      <c r="DU194" s="775">
        <f t="shared" si="254"/>
        <v>127.67450828725404</v>
      </c>
      <c r="DV194" s="775">
        <f t="shared" si="255"/>
        <v>5.1990647119579902</v>
      </c>
      <c r="DW194" s="775">
        <f t="shared" si="256"/>
        <v>12.48346926399805</v>
      </c>
      <c r="DX194" s="775">
        <f t="shared" si="257"/>
        <v>5.674304210908204</v>
      </c>
      <c r="DY194" s="775">
        <f t="shared" si="258"/>
        <v>33.232828496649688</v>
      </c>
      <c r="DZ194" s="775">
        <f t="shared" si="259"/>
        <v>38.16545467046722</v>
      </c>
      <c r="EA194" s="775"/>
      <c r="EB194" s="775"/>
      <c r="EC194" s="775"/>
      <c r="ED194" s="775"/>
      <c r="EE194" s="775"/>
      <c r="EF194" s="775" t="b">
        <f t="shared" si="306"/>
        <v>0</v>
      </c>
      <c r="EG194" s="775">
        <f t="shared" si="260"/>
        <v>22.186245523030472</v>
      </c>
      <c r="EH194" s="775">
        <v>54</v>
      </c>
      <c r="EI194" s="775">
        <f t="shared" si="311"/>
        <v>27</v>
      </c>
      <c r="EJ194" s="673">
        <f t="shared" si="261"/>
        <v>4.8137544769695273</v>
      </c>
      <c r="EK194" s="673">
        <f t="shared" si="262"/>
        <v>2.2510196371999172</v>
      </c>
      <c r="EL194" s="775" t="b">
        <f t="shared" si="263"/>
        <v>0</v>
      </c>
      <c r="EM194" s="673"/>
      <c r="EN194" s="775">
        <f t="shared" si="264"/>
        <v>4.8137544769695273</v>
      </c>
      <c r="EO194" s="775">
        <f t="shared" si="265"/>
        <v>4.7554411170707703E-2</v>
      </c>
      <c r="EP194" s="775">
        <f t="shared" si="266"/>
        <v>3.1806268981279654E-3</v>
      </c>
      <c r="EQ194" s="775">
        <f t="shared" si="267"/>
        <v>5.1618718344350896</v>
      </c>
      <c r="ER194" s="775">
        <f t="shared" si="268"/>
        <v>2.5786890918974303</v>
      </c>
      <c r="ES194" s="775">
        <f t="shared" si="269"/>
        <v>4.2828443724205298</v>
      </c>
      <c r="ET194" s="775">
        <f t="shared" si="270"/>
        <v>8.4217396950021683</v>
      </c>
      <c r="EU194" s="775">
        <f t="shared" si="271"/>
        <v>2.3933242743381085</v>
      </c>
      <c r="EV194" s="775">
        <f t="shared" si="272"/>
        <v>3.4083371255504669</v>
      </c>
      <c r="EW194" s="775">
        <f t="shared" si="273"/>
        <v>59.44301396338463</v>
      </c>
      <c r="EX194" s="775">
        <f t="shared" si="274"/>
        <v>9.6361005472818064</v>
      </c>
      <c r="EY194" s="775">
        <f t="shared" si="307"/>
        <v>23.871602487620624</v>
      </c>
      <c r="EZ194" s="775">
        <f t="shared" si="275"/>
        <v>10.850728403463918</v>
      </c>
      <c r="FA194" s="775">
        <f t="shared" si="276"/>
        <v>4.8137544769695273</v>
      </c>
      <c r="FB194" s="775">
        <f t="shared" si="277"/>
        <v>3.630524606168346</v>
      </c>
      <c r="FC194" s="775"/>
      <c r="FD194" s="775"/>
      <c r="FE194" s="775"/>
      <c r="FF194" s="775"/>
      <c r="FG194" s="775"/>
      <c r="FH194" s="775"/>
      <c r="FI194" s="775"/>
      <c r="FJ194" s="775"/>
      <c r="FK194" s="775" t="b">
        <f t="shared" si="308"/>
        <v>0</v>
      </c>
      <c r="FL194" s="775">
        <f t="shared" si="278"/>
        <v>15.16545467046722</v>
      </c>
      <c r="FM194" s="775">
        <v>54</v>
      </c>
      <c r="FN194" s="775">
        <f t="shared" si="309"/>
        <v>23</v>
      </c>
      <c r="FO194" s="673">
        <f t="shared" si="312"/>
        <v>38.16545467046722</v>
      </c>
      <c r="FP194" s="673">
        <f t="shared" si="280"/>
        <v>24.403675819467587</v>
      </c>
      <c r="FQ194" s="775" t="b">
        <f t="shared" si="281"/>
        <v>1</v>
      </c>
      <c r="FR194" s="673"/>
      <c r="FS194" s="775">
        <f t="shared" si="282"/>
        <v>38.16545467046722</v>
      </c>
      <c r="FT194" s="775">
        <f t="shared" si="283"/>
        <v>9.0936259463856153E-2</v>
      </c>
      <c r="FU194" s="775">
        <f t="shared" si="284"/>
        <v>1.0712339920253238E-2</v>
      </c>
      <c r="FV194" s="775">
        <f t="shared" si="285"/>
        <v>1.6015819135319225</v>
      </c>
      <c r="FW194" s="775">
        <f t="shared" si="286"/>
        <v>0.86485375560767774</v>
      </c>
      <c r="FX194" s="775">
        <f t="shared" si="287"/>
        <v>44.439685381744425</v>
      </c>
      <c r="FY194" s="775">
        <f t="shared" si="288"/>
        <v>75.85499095056079</v>
      </c>
      <c r="FZ194" s="775">
        <f t="shared" si="289"/>
        <v>27.72523582663764</v>
      </c>
      <c r="GA194" s="775">
        <f t="shared" si="290"/>
        <v>42.699591506326243</v>
      </c>
      <c r="GB194" s="775">
        <f t="shared" si="291"/>
        <v>127.67450828725404</v>
      </c>
      <c r="GC194" s="775">
        <f t="shared" si="292"/>
        <v>5.1990647119579902</v>
      </c>
      <c r="GD194" s="775">
        <f t="shared" si="293"/>
        <v>4.5476580077650803</v>
      </c>
      <c r="GE194" s="775">
        <f t="shared" si="294"/>
        <v>2.0671172762568544</v>
      </c>
      <c r="GF194" s="775">
        <f t="shared" si="295"/>
        <v>39.131480216188649</v>
      </c>
      <c r="GG194" s="775">
        <f t="shared" si="296"/>
        <v>38.16545467046722</v>
      </c>
    </row>
    <row r="195" spans="70:189">
      <c r="BR195" s="775"/>
      <c r="BS195" s="775"/>
      <c r="BT195" s="775"/>
      <c r="BU195" s="775"/>
      <c r="BV195" s="775"/>
      <c r="BW195" s="775"/>
      <c r="BX195" s="775"/>
      <c r="BY195" s="775" t="b">
        <f t="shared" si="297"/>
        <v>0</v>
      </c>
      <c r="BZ195" s="775">
        <f t="shared" si="229"/>
        <v>22.660463713994695</v>
      </c>
      <c r="CA195" s="775">
        <v>55</v>
      </c>
      <c r="CB195" s="775">
        <f t="shared" si="310"/>
        <v>27.5</v>
      </c>
      <c r="CC195" s="673">
        <f t="shared" si="230"/>
        <v>4.8395362860053055</v>
      </c>
      <c r="CD195" s="91">
        <f t="shared" si="228"/>
        <v>2</v>
      </c>
      <c r="CE195" s="775" t="b">
        <f t="shared" si="231"/>
        <v>0</v>
      </c>
      <c r="CF195" s="673"/>
      <c r="CG195" s="775">
        <f t="shared" si="232"/>
        <v>4.8395362860053055</v>
      </c>
      <c r="CH195" s="775">
        <f t="shared" si="233"/>
        <v>4.6706923004423528E-2</v>
      </c>
      <c r="CI195" s="775">
        <f t="shared" si="234"/>
        <v>3.1239435412916813E-3</v>
      </c>
      <c r="CJ195" s="775">
        <f t="shared" si="235"/>
        <v>5.1689941802894834</v>
      </c>
      <c r="CK195" s="775">
        <f t="shared" si="236"/>
        <v>2.5804358070767162</v>
      </c>
      <c r="CL195" s="775">
        <f t="shared" si="237"/>
        <v>4.3021414090058894</v>
      </c>
      <c r="CM195" s="775">
        <f t="shared" si="238"/>
        <v>8.4596851828310857</v>
      </c>
      <c r="CN195" s="775">
        <f t="shared" si="239"/>
        <v>2.3990429302027518</v>
      </c>
      <c r="CO195" s="775">
        <f t="shared" si="240"/>
        <v>3.416255576924188</v>
      </c>
      <c r="CP195" s="775">
        <f t="shared" si="241"/>
        <v>58.383653755529409</v>
      </c>
      <c r="CQ195" s="775">
        <f t="shared" si="242"/>
        <v>9.464371343157497</v>
      </c>
      <c r="CR195" s="775">
        <f t="shared" si="298"/>
        <v>24.30474813963847</v>
      </c>
      <c r="CS195" s="775">
        <f t="shared" si="243"/>
        <v>11.047612790744758</v>
      </c>
      <c r="CT195" s="775">
        <f t="shared" si="244"/>
        <v>4.8395362860053055</v>
      </c>
      <c r="CU195" s="775">
        <f t="shared" si="245"/>
        <v>3.6413704259567394</v>
      </c>
      <c r="CV195" s="775"/>
      <c r="CW195" s="775"/>
      <c r="CX195" s="775"/>
      <c r="CY195" s="775"/>
      <c r="CZ195" s="775"/>
      <c r="DA195" s="775"/>
      <c r="DB195" s="775"/>
      <c r="DC195" s="775"/>
      <c r="DD195" s="775" t="b">
        <f t="shared" si="299"/>
        <v>0</v>
      </c>
      <c r="DE195" s="775">
        <f t="shared" si="300"/>
        <v>10.62577820747115</v>
      </c>
      <c r="DF195" s="776">
        <v>56</v>
      </c>
      <c r="DG195" s="775">
        <f t="shared" si="301"/>
        <v>22.5</v>
      </c>
      <c r="DH195" s="673">
        <f t="shared" si="302"/>
        <v>33.12577820747115</v>
      </c>
      <c r="DI195" s="673">
        <f t="shared" si="246"/>
        <v>19</v>
      </c>
      <c r="DJ195" s="775" t="b">
        <f t="shared" si="247"/>
        <v>0</v>
      </c>
      <c r="DK195" s="673"/>
      <c r="DL195" s="775">
        <f t="shared" si="303"/>
        <v>33.12577820747115</v>
      </c>
      <c r="DM195" s="775">
        <f t="shared" si="304"/>
        <v>9.2665361342952349E-2</v>
      </c>
      <c r="DN195" s="775">
        <f t="shared" si="305"/>
        <v>1.0916029044864628E-2</v>
      </c>
      <c r="DO195" s="775">
        <f t="shared" si="248"/>
        <v>1.5954808336355606</v>
      </c>
      <c r="DP195" s="775">
        <f t="shared" si="249"/>
        <v>0.86307678897733242</v>
      </c>
      <c r="DQ195" s="775">
        <f t="shared" si="250"/>
        <v>34.436915508457865</v>
      </c>
      <c r="DR195" s="775">
        <f t="shared" si="251"/>
        <v>58.781062282956206</v>
      </c>
      <c r="DS195" s="775">
        <f t="shared" si="252"/>
        <v>27.615948918435766</v>
      </c>
      <c r="DT195" s="775">
        <f t="shared" si="253"/>
        <v>42.543876956470413</v>
      </c>
      <c r="DU195" s="775">
        <f t="shared" si="254"/>
        <v>130.10216732550509</v>
      </c>
      <c r="DV195" s="775">
        <f t="shared" si="255"/>
        <v>5.2979220062429206</v>
      </c>
      <c r="DW195" s="775">
        <f t="shared" si="256"/>
        <v>12.250532276010356</v>
      </c>
      <c r="DX195" s="775">
        <f t="shared" si="257"/>
        <v>5.5684237618228885</v>
      </c>
      <c r="DY195" s="775">
        <f t="shared" si="258"/>
        <v>33.12577820747115</v>
      </c>
      <c r="DZ195" s="775">
        <f t="shared" si="259"/>
        <v>38.07751176982179</v>
      </c>
      <c r="EA195" s="775"/>
      <c r="EB195" s="775"/>
      <c r="EC195" s="775"/>
      <c r="ED195" s="775"/>
      <c r="EE195" s="775"/>
      <c r="EF195" s="775" t="b">
        <f t="shared" si="306"/>
        <v>0</v>
      </c>
      <c r="EG195" s="775">
        <f t="shared" si="260"/>
        <v>22.660463713994695</v>
      </c>
      <c r="EH195" s="775">
        <v>55</v>
      </c>
      <c r="EI195" s="775">
        <f t="shared" si="311"/>
        <v>27.5</v>
      </c>
      <c r="EJ195" s="673">
        <f t="shared" si="261"/>
        <v>4.8395362860053055</v>
      </c>
      <c r="EK195" s="673">
        <f t="shared" si="262"/>
        <v>2.2510196371999172</v>
      </c>
      <c r="EL195" s="775" t="b">
        <f t="shared" si="263"/>
        <v>0</v>
      </c>
      <c r="EM195" s="673"/>
      <c r="EN195" s="775">
        <f t="shared" si="264"/>
        <v>4.8395362860053055</v>
      </c>
      <c r="EO195" s="775">
        <f t="shared" si="265"/>
        <v>4.6706923004423528E-2</v>
      </c>
      <c r="EP195" s="775">
        <f t="shared" si="266"/>
        <v>3.1239435412916813E-3</v>
      </c>
      <c r="EQ195" s="775">
        <f t="shared" si="267"/>
        <v>5.1689941802894834</v>
      </c>
      <c r="ER195" s="775">
        <f t="shared" si="268"/>
        <v>2.5804358070767162</v>
      </c>
      <c r="ES195" s="775">
        <f t="shared" si="269"/>
        <v>4.3021414090058894</v>
      </c>
      <c r="ET195" s="775">
        <f t="shared" si="270"/>
        <v>8.4596851828310857</v>
      </c>
      <c r="EU195" s="775">
        <f t="shared" si="271"/>
        <v>2.3990429302027518</v>
      </c>
      <c r="EV195" s="775">
        <f t="shared" si="272"/>
        <v>3.416255576924188</v>
      </c>
      <c r="EW195" s="775">
        <f t="shared" si="273"/>
        <v>58.383653755529409</v>
      </c>
      <c r="EX195" s="775">
        <f t="shared" si="274"/>
        <v>9.464371343157497</v>
      </c>
      <c r="EY195" s="775">
        <f t="shared" si="307"/>
        <v>24.30474813963847</v>
      </c>
      <c r="EZ195" s="775">
        <f t="shared" si="275"/>
        <v>11.047612790744758</v>
      </c>
      <c r="FA195" s="775">
        <f t="shared" si="276"/>
        <v>4.8395362860053055</v>
      </c>
      <c r="FB195" s="775">
        <f t="shared" si="277"/>
        <v>3.6413704259567394</v>
      </c>
      <c r="FC195" s="775"/>
      <c r="FD195" s="775"/>
      <c r="FE195" s="775"/>
      <c r="FF195" s="775"/>
      <c r="FG195" s="775"/>
      <c r="FH195" s="775"/>
      <c r="FI195" s="775"/>
      <c r="FJ195" s="775"/>
      <c r="FK195" s="775" t="b">
        <f t="shared" si="308"/>
        <v>0</v>
      </c>
      <c r="FL195" s="775">
        <f t="shared" si="278"/>
        <v>15.57751176982179</v>
      </c>
      <c r="FM195" s="775">
        <v>55</v>
      </c>
      <c r="FN195" s="775">
        <f t="shared" si="309"/>
        <v>22.5</v>
      </c>
      <c r="FO195" s="673">
        <f t="shared" si="312"/>
        <v>38.07751176982179</v>
      </c>
      <c r="FP195" s="673">
        <f t="shared" si="280"/>
        <v>24.403675819467587</v>
      </c>
      <c r="FQ195" s="775" t="b">
        <f t="shared" si="281"/>
        <v>1</v>
      </c>
      <c r="FR195" s="673"/>
      <c r="FS195" s="775">
        <f t="shared" si="282"/>
        <v>38.07751176982179</v>
      </c>
      <c r="FT195" s="775">
        <f t="shared" si="283"/>
        <v>9.2665361342952349E-2</v>
      </c>
      <c r="FU195" s="775">
        <f t="shared" si="284"/>
        <v>1.0916029044864628E-2</v>
      </c>
      <c r="FV195" s="775">
        <f t="shared" si="285"/>
        <v>1.5954808336355606</v>
      </c>
      <c r="FW195" s="775">
        <f t="shared" si="286"/>
        <v>0.86307678897733242</v>
      </c>
      <c r="FX195" s="775">
        <f t="shared" si="287"/>
        <v>44.230911699515865</v>
      </c>
      <c r="FY195" s="775">
        <f t="shared" si="288"/>
        <v>75.498630961957716</v>
      </c>
      <c r="FZ195" s="775">
        <f t="shared" si="289"/>
        <v>27.615948918435766</v>
      </c>
      <c r="GA195" s="775">
        <f t="shared" si="290"/>
        <v>42.543876956470413</v>
      </c>
      <c r="GB195" s="775">
        <f t="shared" si="291"/>
        <v>130.10216732550509</v>
      </c>
      <c r="GC195" s="775">
        <f t="shared" si="292"/>
        <v>5.2979220062429206</v>
      </c>
      <c r="GD195" s="775">
        <f t="shared" si="293"/>
        <v>4.4628003663254567</v>
      </c>
      <c r="GE195" s="775">
        <f t="shared" si="294"/>
        <v>2.0285456210570256</v>
      </c>
      <c r="GF195" s="775">
        <f t="shared" si="295"/>
        <v>39.017174472187499</v>
      </c>
      <c r="GG195" s="775">
        <f t="shared" si="296"/>
        <v>38.07751176982179</v>
      </c>
    </row>
    <row r="196" spans="70:189">
      <c r="BR196" s="775"/>
      <c r="BS196" s="775"/>
      <c r="BT196" s="775"/>
      <c r="BU196" s="775"/>
      <c r="BV196" s="775"/>
      <c r="BW196" s="775"/>
      <c r="BX196" s="775"/>
      <c r="BY196" s="775" t="b">
        <f t="shared" si="297"/>
        <v>0</v>
      </c>
      <c r="BZ196" s="775">
        <f t="shared" si="229"/>
        <v>23.135047105668484</v>
      </c>
      <c r="CA196" s="775">
        <v>56</v>
      </c>
      <c r="CB196" s="775">
        <f t="shared" si="310"/>
        <v>28</v>
      </c>
      <c r="CC196" s="673">
        <f t="shared" si="230"/>
        <v>4.8649528943315161</v>
      </c>
      <c r="CD196" s="91">
        <f t="shared" si="228"/>
        <v>2</v>
      </c>
      <c r="CE196" s="775" t="b">
        <f t="shared" si="231"/>
        <v>0</v>
      </c>
      <c r="CF196" s="673"/>
      <c r="CG196" s="775">
        <f t="shared" si="232"/>
        <v>4.8649528943315161</v>
      </c>
      <c r="CH196" s="775">
        <f t="shared" si="233"/>
        <v>4.5889404998452572E-2</v>
      </c>
      <c r="CI196" s="775">
        <f t="shared" si="234"/>
        <v>3.0692647071839251E-3</v>
      </c>
      <c r="CJ196" s="775">
        <f t="shared" si="235"/>
        <v>5.1758889187326043</v>
      </c>
      <c r="CK196" s="775">
        <f t="shared" si="236"/>
        <v>2.5821241201259157</v>
      </c>
      <c r="CL196" s="775">
        <f t="shared" si="237"/>
        <v>4.3211753399303987</v>
      </c>
      <c r="CM196" s="775">
        <f t="shared" si="238"/>
        <v>8.4971133024823899</v>
      </c>
      <c r="CN196" s="775">
        <f t="shared" si="239"/>
        <v>2.4046704712395615</v>
      </c>
      <c r="CO196" s="775">
        <f t="shared" si="240"/>
        <v>3.4240481949004011</v>
      </c>
      <c r="CP196" s="775">
        <f t="shared" si="241"/>
        <v>57.361756248065717</v>
      </c>
      <c r="CQ196" s="775">
        <f t="shared" si="242"/>
        <v>9.2987150872852364</v>
      </c>
      <c r="CR196" s="775">
        <f t="shared" si="298"/>
        <v>24.737736304017886</v>
      </c>
      <c r="CS196" s="775">
        <f t="shared" si="243"/>
        <v>11.244425592735402</v>
      </c>
      <c r="CT196" s="775">
        <f t="shared" si="244"/>
        <v>4.8649528943315161</v>
      </c>
      <c r="CU196" s="775">
        <f t="shared" si="245"/>
        <v>3.6520415099410766</v>
      </c>
      <c r="CV196" s="775"/>
      <c r="CW196" s="775"/>
      <c r="CX196" s="775"/>
      <c r="CY196" s="775"/>
      <c r="CZ196" s="775"/>
      <c r="DA196" s="775"/>
      <c r="DB196" s="775"/>
      <c r="DC196" s="775"/>
      <c r="DD196" s="775" t="b">
        <f t="shared" si="299"/>
        <v>0</v>
      </c>
      <c r="DE196" s="775">
        <f t="shared" si="300"/>
        <v>11.016489092925326</v>
      </c>
      <c r="DF196" s="776">
        <v>57</v>
      </c>
      <c r="DG196" s="775">
        <f t="shared" si="301"/>
        <v>22</v>
      </c>
      <c r="DH196" s="673">
        <f t="shared" si="302"/>
        <v>33.016489092925326</v>
      </c>
      <c r="DI196" s="673">
        <f t="shared" si="246"/>
        <v>19</v>
      </c>
      <c r="DJ196" s="775" t="b">
        <f t="shared" si="247"/>
        <v>0</v>
      </c>
      <c r="DK196" s="673"/>
      <c r="DL196" s="775">
        <f t="shared" si="303"/>
        <v>33.016489092925326</v>
      </c>
      <c r="DM196" s="775">
        <f t="shared" si="304"/>
        <v>9.4467322038329124E-2</v>
      </c>
      <c r="DN196" s="775">
        <f t="shared" si="305"/>
        <v>1.1128300976936831E-2</v>
      </c>
      <c r="DO196" s="775">
        <f t="shared" si="248"/>
        <v>1.5891865709547235</v>
      </c>
      <c r="DP196" s="775">
        <f t="shared" si="249"/>
        <v>0.86123655242471808</v>
      </c>
      <c r="DQ196" s="775">
        <f t="shared" si="250"/>
        <v>34.271506850246752</v>
      </c>
      <c r="DR196" s="775">
        <f t="shared" si="251"/>
        <v>58.498722924250877</v>
      </c>
      <c r="DS196" s="775">
        <f t="shared" si="252"/>
        <v>27.504582485167727</v>
      </c>
      <c r="DT196" s="775">
        <f t="shared" si="253"/>
        <v>42.38512988698325</v>
      </c>
      <c r="DU196" s="775">
        <f t="shared" si="254"/>
        <v>132.63212014181408</v>
      </c>
      <c r="DV196" s="775">
        <f t="shared" si="255"/>
        <v>5.4009448303496495</v>
      </c>
      <c r="DW196" s="775">
        <f t="shared" si="256"/>
        <v>12.016853823160188</v>
      </c>
      <c r="DX196" s="775">
        <f t="shared" si="257"/>
        <v>5.4622062832546305</v>
      </c>
      <c r="DY196" s="775">
        <f t="shared" si="258"/>
        <v>33.016489092925326</v>
      </c>
      <c r="DZ196" s="775">
        <f t="shared" si="259"/>
        <v>37.987598314442465</v>
      </c>
      <c r="EA196" s="775"/>
      <c r="EB196" s="775"/>
      <c r="EC196" s="775"/>
      <c r="ED196" s="775"/>
      <c r="EE196" s="775"/>
      <c r="EF196" s="775" t="b">
        <f t="shared" si="306"/>
        <v>0</v>
      </c>
      <c r="EG196" s="775">
        <f t="shared" si="260"/>
        <v>23.135047105668484</v>
      </c>
      <c r="EH196" s="775">
        <v>56</v>
      </c>
      <c r="EI196" s="775">
        <f t="shared" si="311"/>
        <v>28</v>
      </c>
      <c r="EJ196" s="673">
        <f t="shared" si="261"/>
        <v>4.8649528943315161</v>
      </c>
      <c r="EK196" s="673">
        <f t="shared" si="262"/>
        <v>2.2510196371999172</v>
      </c>
      <c r="EL196" s="775" t="b">
        <f t="shared" si="263"/>
        <v>0</v>
      </c>
      <c r="EM196" s="673"/>
      <c r="EN196" s="775">
        <f t="shared" si="264"/>
        <v>4.8649528943315161</v>
      </c>
      <c r="EO196" s="775">
        <f t="shared" si="265"/>
        <v>4.5889404998452572E-2</v>
      </c>
      <c r="EP196" s="775">
        <f t="shared" si="266"/>
        <v>3.0692647071839251E-3</v>
      </c>
      <c r="EQ196" s="775">
        <f t="shared" si="267"/>
        <v>5.1758889187326043</v>
      </c>
      <c r="ER196" s="775">
        <f t="shared" si="268"/>
        <v>2.5821241201259157</v>
      </c>
      <c r="ES196" s="775">
        <f t="shared" si="269"/>
        <v>4.3211753399303987</v>
      </c>
      <c r="ET196" s="775">
        <f t="shared" si="270"/>
        <v>8.4971133024823899</v>
      </c>
      <c r="EU196" s="775">
        <f t="shared" si="271"/>
        <v>2.4046704712395615</v>
      </c>
      <c r="EV196" s="775">
        <f t="shared" si="272"/>
        <v>3.4240481949004011</v>
      </c>
      <c r="EW196" s="775">
        <f t="shared" si="273"/>
        <v>57.361756248065717</v>
      </c>
      <c r="EX196" s="775">
        <f t="shared" si="274"/>
        <v>9.2987150872852364</v>
      </c>
      <c r="EY196" s="775">
        <f t="shared" si="307"/>
        <v>24.737736304017886</v>
      </c>
      <c r="EZ196" s="775">
        <f t="shared" si="275"/>
        <v>11.244425592735402</v>
      </c>
      <c r="FA196" s="775">
        <f t="shared" si="276"/>
        <v>4.8649528943315161</v>
      </c>
      <c r="FB196" s="775">
        <f t="shared" si="277"/>
        <v>3.6520415099410766</v>
      </c>
      <c r="FC196" s="775"/>
      <c r="FD196" s="775"/>
      <c r="FE196" s="775"/>
      <c r="FF196" s="775"/>
      <c r="FG196" s="775"/>
      <c r="FH196" s="775"/>
      <c r="FI196" s="775"/>
      <c r="FJ196" s="775"/>
      <c r="FK196" s="775" t="b">
        <f t="shared" si="308"/>
        <v>0</v>
      </c>
      <c r="FL196" s="775">
        <f t="shared" si="278"/>
        <v>15.987598314442465</v>
      </c>
      <c r="FM196" s="775">
        <v>56</v>
      </c>
      <c r="FN196" s="775">
        <f t="shared" si="309"/>
        <v>22</v>
      </c>
      <c r="FO196" s="673">
        <f t="shared" si="312"/>
        <v>37.987598314442465</v>
      </c>
      <c r="FP196" s="673">
        <f t="shared" si="280"/>
        <v>24.403675819467587</v>
      </c>
      <c r="FQ196" s="775" t="b">
        <f t="shared" si="281"/>
        <v>1</v>
      </c>
      <c r="FR196" s="673"/>
      <c r="FS196" s="775">
        <f t="shared" si="282"/>
        <v>37.987598314442465</v>
      </c>
      <c r="FT196" s="775">
        <f t="shared" si="283"/>
        <v>9.4467322038329124E-2</v>
      </c>
      <c r="FU196" s="775">
        <f t="shared" si="284"/>
        <v>1.1128300976936831E-2</v>
      </c>
      <c r="FV196" s="775">
        <f t="shared" si="285"/>
        <v>1.5891865709547235</v>
      </c>
      <c r="FW196" s="775">
        <f t="shared" si="286"/>
        <v>0.86123655242471808</v>
      </c>
      <c r="FX196" s="775">
        <f t="shared" si="287"/>
        <v>44.018460158846544</v>
      </c>
      <c r="FY196" s="775">
        <f t="shared" si="288"/>
        <v>75.135993162961853</v>
      </c>
      <c r="FZ196" s="775">
        <f t="shared" si="289"/>
        <v>27.504582485167727</v>
      </c>
      <c r="GA196" s="775">
        <f t="shared" si="290"/>
        <v>42.38512988698325</v>
      </c>
      <c r="GB196" s="775">
        <f t="shared" si="291"/>
        <v>132.63212014181408</v>
      </c>
      <c r="GC196" s="775">
        <f t="shared" si="292"/>
        <v>5.4009448303496495</v>
      </c>
      <c r="GD196" s="775">
        <f t="shared" si="293"/>
        <v>4.3776726133849353</v>
      </c>
      <c r="GE196" s="775">
        <f t="shared" si="294"/>
        <v>1.9898511879022431</v>
      </c>
      <c r="GF196" s="775">
        <f t="shared" si="295"/>
        <v>38.900413495518741</v>
      </c>
      <c r="GG196" s="775">
        <f t="shared" si="296"/>
        <v>37.987598314442465</v>
      </c>
    </row>
    <row r="197" spans="70:189">
      <c r="BR197" s="775"/>
      <c r="BS197" s="775"/>
      <c r="BT197" s="775"/>
      <c r="BU197" s="775"/>
      <c r="BV197" s="775"/>
      <c r="BW197" s="775"/>
      <c r="BX197" s="775"/>
      <c r="BY197" s="775" t="b">
        <f t="shared" si="297"/>
        <v>0</v>
      </c>
      <c r="BZ197" s="775">
        <f t="shared" si="229"/>
        <v>23.609984194934338</v>
      </c>
      <c r="CA197" s="775">
        <v>57</v>
      </c>
      <c r="CB197" s="775">
        <f t="shared" si="310"/>
        <v>28.5</v>
      </c>
      <c r="CC197" s="673">
        <f t="shared" si="230"/>
        <v>4.8900158050656621</v>
      </c>
      <c r="CD197" s="91">
        <f t="shared" si="228"/>
        <v>2</v>
      </c>
      <c r="CE197" s="775" t="b">
        <f t="shared" si="231"/>
        <v>0</v>
      </c>
      <c r="CF197" s="673"/>
      <c r="CG197" s="775">
        <f t="shared" si="232"/>
        <v>4.8900158050656621</v>
      </c>
      <c r="CH197" s="775">
        <f t="shared" si="233"/>
        <v>4.5100290013558447E-2</v>
      </c>
      <c r="CI197" s="775">
        <f t="shared" si="234"/>
        <v>3.0164855793410779E-3</v>
      </c>
      <c r="CJ197" s="775">
        <f t="shared" si="235"/>
        <v>5.182566839959275</v>
      </c>
      <c r="CK197" s="775">
        <f t="shared" si="236"/>
        <v>2.5837569232883695</v>
      </c>
      <c r="CL197" s="775">
        <f t="shared" si="237"/>
        <v>4.3399543562743386</v>
      </c>
      <c r="CM197" s="775">
        <f t="shared" si="238"/>
        <v>8.5340401608093615</v>
      </c>
      <c r="CN197" s="775">
        <f t="shared" si="239"/>
        <v>2.4102099396480665</v>
      </c>
      <c r="CO197" s="775">
        <f t="shared" si="240"/>
        <v>3.4317191751676357</v>
      </c>
      <c r="CP197" s="775">
        <f t="shared" si="241"/>
        <v>56.375362516948059</v>
      </c>
      <c r="CQ197" s="775">
        <f t="shared" si="242"/>
        <v>9.1388142252913767</v>
      </c>
      <c r="CR197" s="775">
        <f t="shared" si="298"/>
        <v>25.170569849079154</v>
      </c>
      <c r="CS197" s="775">
        <f t="shared" si="243"/>
        <v>11.441168113217797</v>
      </c>
      <c r="CT197" s="775">
        <f t="shared" si="244"/>
        <v>4.8900158050656621</v>
      </c>
      <c r="CU197" s="775">
        <f t="shared" si="245"/>
        <v>3.6625437170284791</v>
      </c>
      <c r="CV197" s="775"/>
      <c r="CW197" s="775"/>
      <c r="CX197" s="775"/>
      <c r="CY197" s="775"/>
      <c r="CZ197" s="775"/>
      <c r="DA197" s="775"/>
      <c r="DB197" s="775"/>
      <c r="DC197" s="775"/>
      <c r="DD197" s="775" t="b">
        <f t="shared" si="299"/>
        <v>0</v>
      </c>
      <c r="DE197" s="775">
        <f t="shared" si="300"/>
        <v>11.404862992948111</v>
      </c>
      <c r="DF197" s="776">
        <v>58</v>
      </c>
      <c r="DG197" s="775">
        <f t="shared" si="301"/>
        <v>21.5</v>
      </c>
      <c r="DH197" s="673">
        <f t="shared" si="302"/>
        <v>32.904862992948111</v>
      </c>
      <c r="DI197" s="673">
        <f t="shared" si="246"/>
        <v>19</v>
      </c>
      <c r="DJ197" s="775" t="b">
        <f t="shared" si="247"/>
        <v>0</v>
      </c>
      <c r="DK197" s="673"/>
      <c r="DL197" s="775">
        <f t="shared" si="303"/>
        <v>32.904862992948111</v>
      </c>
      <c r="DM197" s="775">
        <f t="shared" si="304"/>
        <v>9.6346974505230248E-2</v>
      </c>
      <c r="DN197" s="775">
        <f t="shared" si="305"/>
        <v>1.134972504117812E-2</v>
      </c>
      <c r="DO197" s="775">
        <f t="shared" si="248"/>
        <v>1.5826892792436309</v>
      </c>
      <c r="DP197" s="775">
        <f t="shared" si="249"/>
        <v>0.85932946204418392</v>
      </c>
      <c r="DQ197" s="775">
        <f t="shared" si="250"/>
        <v>34.10311743840586</v>
      </c>
      <c r="DR197" s="775">
        <f t="shared" si="251"/>
        <v>58.211295657346589</v>
      </c>
      <c r="DS197" s="775">
        <f t="shared" si="252"/>
        <v>27.391048777572635</v>
      </c>
      <c r="DT197" s="775">
        <f t="shared" si="253"/>
        <v>42.223220893747282</v>
      </c>
      <c r="DU197" s="775">
        <f t="shared" si="254"/>
        <v>135.27115220534327</v>
      </c>
      <c r="DV197" s="775">
        <f t="shared" si="255"/>
        <v>5.5084094970186657</v>
      </c>
      <c r="DW197" s="775">
        <f t="shared" si="256"/>
        <v>11.782414609587715</v>
      </c>
      <c r="DX197" s="775">
        <f t="shared" si="257"/>
        <v>5.3556430043580514</v>
      </c>
      <c r="DY197" s="775">
        <f t="shared" si="258"/>
        <v>32.904862992948111</v>
      </c>
      <c r="DZ197" s="775">
        <f t="shared" si="259"/>
        <v>37.895624596553496</v>
      </c>
      <c r="EA197" s="775"/>
      <c r="EB197" s="775"/>
      <c r="EC197" s="775"/>
      <c r="ED197" s="775"/>
      <c r="EE197" s="775"/>
      <c r="EF197" s="775" t="b">
        <f t="shared" si="306"/>
        <v>0</v>
      </c>
      <c r="EG197" s="775">
        <f t="shared" si="260"/>
        <v>23.609984194934338</v>
      </c>
      <c r="EH197" s="775">
        <v>57</v>
      </c>
      <c r="EI197" s="775">
        <f t="shared" si="311"/>
        <v>28.5</v>
      </c>
      <c r="EJ197" s="673">
        <f t="shared" si="261"/>
        <v>4.8900158050656621</v>
      </c>
      <c r="EK197" s="673">
        <f t="shared" si="262"/>
        <v>2.2510196371999172</v>
      </c>
      <c r="EL197" s="775" t="b">
        <f t="shared" si="263"/>
        <v>0</v>
      </c>
      <c r="EM197" s="673"/>
      <c r="EN197" s="775">
        <f t="shared" si="264"/>
        <v>4.8900158050656621</v>
      </c>
      <c r="EO197" s="775">
        <f t="shared" si="265"/>
        <v>4.5100290013558447E-2</v>
      </c>
      <c r="EP197" s="775">
        <f t="shared" si="266"/>
        <v>3.0164855793410779E-3</v>
      </c>
      <c r="EQ197" s="775">
        <f t="shared" si="267"/>
        <v>5.182566839959275</v>
      </c>
      <c r="ER197" s="775">
        <f t="shared" si="268"/>
        <v>2.5837569232883695</v>
      </c>
      <c r="ES197" s="775">
        <f t="shared" si="269"/>
        <v>4.3399543562743386</v>
      </c>
      <c r="ET197" s="775">
        <f t="shared" si="270"/>
        <v>8.5340401608093615</v>
      </c>
      <c r="EU197" s="775">
        <f t="shared" si="271"/>
        <v>2.4102099396480665</v>
      </c>
      <c r="EV197" s="775">
        <f t="shared" si="272"/>
        <v>3.4317191751676357</v>
      </c>
      <c r="EW197" s="775">
        <f t="shared" si="273"/>
        <v>56.375362516948059</v>
      </c>
      <c r="EX197" s="775">
        <f t="shared" si="274"/>
        <v>9.1388142252913767</v>
      </c>
      <c r="EY197" s="775">
        <f t="shared" si="307"/>
        <v>25.170569849079154</v>
      </c>
      <c r="EZ197" s="775">
        <f t="shared" si="275"/>
        <v>11.441168113217797</v>
      </c>
      <c r="FA197" s="775">
        <f t="shared" si="276"/>
        <v>4.8900158050656621</v>
      </c>
      <c r="FB197" s="775">
        <f t="shared" si="277"/>
        <v>3.6625437170284791</v>
      </c>
      <c r="FC197" s="775"/>
      <c r="FD197" s="775"/>
      <c r="FE197" s="775"/>
      <c r="FF197" s="775"/>
      <c r="FG197" s="775"/>
      <c r="FH197" s="775"/>
      <c r="FI197" s="775"/>
      <c r="FJ197" s="775"/>
      <c r="FK197" s="775" t="b">
        <f t="shared" si="308"/>
        <v>0</v>
      </c>
      <c r="FL197" s="775">
        <f t="shared" si="278"/>
        <v>16.395624596553496</v>
      </c>
      <c r="FM197" s="775">
        <v>57</v>
      </c>
      <c r="FN197" s="775">
        <f t="shared" si="309"/>
        <v>21.5</v>
      </c>
      <c r="FO197" s="673">
        <f t="shared" si="312"/>
        <v>37.895624596553496</v>
      </c>
      <c r="FP197" s="673">
        <f t="shared" si="280"/>
        <v>24.403675819467587</v>
      </c>
      <c r="FQ197" s="775" t="b">
        <f t="shared" si="281"/>
        <v>1</v>
      </c>
      <c r="FR197" s="673"/>
      <c r="FS197" s="775">
        <f t="shared" si="282"/>
        <v>37.895624596553496</v>
      </c>
      <c r="FT197" s="775">
        <f t="shared" si="283"/>
        <v>9.6346974505230248E-2</v>
      </c>
      <c r="FU197" s="775">
        <f t="shared" si="284"/>
        <v>1.134972504117812E-2</v>
      </c>
      <c r="FV197" s="775">
        <f t="shared" si="285"/>
        <v>1.5826892792436309</v>
      </c>
      <c r="FW197" s="775">
        <f t="shared" si="286"/>
        <v>0.85932946204418392</v>
      </c>
      <c r="FX197" s="775">
        <f t="shared" si="287"/>
        <v>43.802180126320444</v>
      </c>
      <c r="FY197" s="775">
        <f t="shared" si="288"/>
        <v>74.766820434371979</v>
      </c>
      <c r="FZ197" s="775">
        <f t="shared" si="289"/>
        <v>27.391048777572635</v>
      </c>
      <c r="GA197" s="775">
        <f t="shared" si="290"/>
        <v>42.223220893747282</v>
      </c>
      <c r="GB197" s="775">
        <f t="shared" si="291"/>
        <v>135.27115220534327</v>
      </c>
      <c r="GC197" s="775">
        <f t="shared" si="292"/>
        <v>5.5084094970186657</v>
      </c>
      <c r="GD197" s="775">
        <f t="shared" si="293"/>
        <v>4.2922677195697405</v>
      </c>
      <c r="GE197" s="775">
        <f t="shared" si="294"/>
        <v>1.9510307816226091</v>
      </c>
      <c r="GF197" s="775">
        <f t="shared" si="295"/>
        <v>38.7810882538014</v>
      </c>
      <c r="GG197" s="775">
        <f t="shared" si="296"/>
        <v>37.895624596553496</v>
      </c>
    </row>
    <row r="198" spans="70:189">
      <c r="BR198" s="775"/>
      <c r="BS198" s="775"/>
      <c r="BT198" s="775"/>
      <c r="BU198" s="775"/>
      <c r="BV198" s="775"/>
      <c r="BW198" s="775"/>
      <c r="BX198" s="775"/>
      <c r="BY198" s="775" t="b">
        <f t="shared" si="297"/>
        <v>0</v>
      </c>
      <c r="BZ198" s="775">
        <f t="shared" si="229"/>
        <v>24.085264034620266</v>
      </c>
      <c r="CA198" s="775">
        <v>58</v>
      </c>
      <c r="CB198" s="775">
        <f t="shared" si="310"/>
        <v>29</v>
      </c>
      <c r="CC198" s="673">
        <f t="shared" si="230"/>
        <v>4.914735965379732</v>
      </c>
      <c r="CD198" s="91">
        <f t="shared" si="228"/>
        <v>2</v>
      </c>
      <c r="CE198" s="775" t="b">
        <f t="shared" si="231"/>
        <v>0</v>
      </c>
      <c r="CF198" s="673"/>
      <c r="CG198" s="775">
        <f t="shared" si="232"/>
        <v>4.914735965379732</v>
      </c>
      <c r="CH198" s="775">
        <f t="shared" si="233"/>
        <v>4.4338118467499188E-2</v>
      </c>
      <c r="CI198" s="775">
        <f t="shared" si="234"/>
        <v>2.9655085351362473E-3</v>
      </c>
      <c r="CJ198" s="775">
        <f t="shared" si="235"/>
        <v>5.189038060742754</v>
      </c>
      <c r="CK198" s="775">
        <f t="shared" si="236"/>
        <v>2.5853369205189725</v>
      </c>
      <c r="CL198" s="775">
        <f t="shared" si="237"/>
        <v>4.3584862557728004</v>
      </c>
      <c r="CM198" s="775">
        <f t="shared" si="238"/>
        <v>8.5704810911954894</v>
      </c>
      <c r="CN198" s="775">
        <f t="shared" si="239"/>
        <v>2.4156642248246407</v>
      </c>
      <c r="CO198" s="775">
        <f t="shared" si="240"/>
        <v>3.4392725028658866</v>
      </c>
      <c r="CP198" s="775">
        <f t="shared" si="241"/>
        <v>55.422648084373982</v>
      </c>
      <c r="CQ198" s="775">
        <f t="shared" si="242"/>
        <v>8.9843729974157984</v>
      </c>
      <c r="CR198" s="775">
        <f t="shared" si="298"/>
        <v>25.603251541495304</v>
      </c>
      <c r="CS198" s="775">
        <f t="shared" si="243"/>
        <v>11.637841609770591</v>
      </c>
      <c r="CT198" s="775">
        <f t="shared" si="244"/>
        <v>4.914735965379732</v>
      </c>
      <c r="CU198" s="775">
        <f t="shared" si="245"/>
        <v>3.67288261111015</v>
      </c>
      <c r="CV198" s="775"/>
      <c r="CW198" s="775"/>
      <c r="CX198" s="775"/>
      <c r="CY198" s="775"/>
      <c r="CZ198" s="775"/>
      <c r="DA198" s="775"/>
      <c r="DB198" s="775"/>
      <c r="DC198" s="775"/>
      <c r="DD198" s="775" t="b">
        <f t="shared" si="299"/>
        <v>0</v>
      </c>
      <c r="DE198" s="775">
        <f t="shared" si="300"/>
        <v>11.790795059626227</v>
      </c>
      <c r="DF198" s="776">
        <v>59</v>
      </c>
      <c r="DG198" s="775">
        <f t="shared" si="301"/>
        <v>21</v>
      </c>
      <c r="DH198" s="673">
        <f t="shared" si="302"/>
        <v>32.790795059626227</v>
      </c>
      <c r="DI198" s="673">
        <f t="shared" si="246"/>
        <v>19</v>
      </c>
      <c r="DJ198" s="775" t="b">
        <f t="shared" si="247"/>
        <v>0</v>
      </c>
      <c r="DK198" s="673"/>
      <c r="DL198" s="775">
        <f t="shared" si="303"/>
        <v>32.790795059626227</v>
      </c>
      <c r="DM198" s="775">
        <f t="shared" si="304"/>
        <v>9.8309594784874804E-2</v>
      </c>
      <c r="DN198" s="775">
        <f t="shared" si="305"/>
        <v>1.1580922758061244E-2</v>
      </c>
      <c r="DO198" s="775">
        <f t="shared" si="248"/>
        <v>1.5759784059079736</v>
      </c>
      <c r="DP198" s="775">
        <f t="shared" si="249"/>
        <v>0.85735165108366829</v>
      </c>
      <c r="DQ198" s="775">
        <f t="shared" si="250"/>
        <v>33.931622324566945</v>
      </c>
      <c r="DR198" s="775">
        <f t="shared" si="251"/>
        <v>57.91856720536569</v>
      </c>
      <c r="DS198" s="775">
        <f t="shared" si="252"/>
        <v>27.275254204454153</v>
      </c>
      <c r="DT198" s="775">
        <f t="shared" si="253"/>
        <v>42.058011894515943</v>
      </c>
      <c r="DU198" s="775">
        <f t="shared" si="254"/>
        <v>138.02667107796424</v>
      </c>
      <c r="DV198" s="775">
        <f t="shared" si="255"/>
        <v>5.6206176513790149</v>
      </c>
      <c r="DW198" s="775">
        <f t="shared" si="256"/>
        <v>11.547194375931387</v>
      </c>
      <c r="DX198" s="775">
        <f t="shared" si="257"/>
        <v>5.2487247163324477</v>
      </c>
      <c r="DY198" s="775">
        <f t="shared" si="258"/>
        <v>32.790795059626227</v>
      </c>
      <c r="DZ198" s="775">
        <f t="shared" si="259"/>
        <v>37.801494637935569</v>
      </c>
      <c r="EA198" s="775"/>
      <c r="EB198" s="775"/>
      <c r="EC198" s="775"/>
      <c r="ED198" s="775"/>
      <c r="EE198" s="775"/>
      <c r="EF198" s="775" t="b">
        <f t="shared" si="306"/>
        <v>0</v>
      </c>
      <c r="EG198" s="775">
        <f t="shared" si="260"/>
        <v>24.085264034620266</v>
      </c>
      <c r="EH198" s="775">
        <v>58</v>
      </c>
      <c r="EI198" s="775">
        <f t="shared" si="311"/>
        <v>29</v>
      </c>
      <c r="EJ198" s="673">
        <f t="shared" si="261"/>
        <v>4.914735965379732</v>
      </c>
      <c r="EK198" s="673">
        <f t="shared" si="262"/>
        <v>2.2510196371999172</v>
      </c>
      <c r="EL198" s="775" t="b">
        <f t="shared" si="263"/>
        <v>0</v>
      </c>
      <c r="EM198" s="673"/>
      <c r="EN198" s="775">
        <f t="shared" si="264"/>
        <v>4.914735965379732</v>
      </c>
      <c r="EO198" s="775">
        <f t="shared" si="265"/>
        <v>4.4338118467499188E-2</v>
      </c>
      <c r="EP198" s="775">
        <f t="shared" si="266"/>
        <v>2.9655085351362473E-3</v>
      </c>
      <c r="EQ198" s="775">
        <f t="shared" si="267"/>
        <v>5.189038060742754</v>
      </c>
      <c r="ER198" s="775">
        <f t="shared" si="268"/>
        <v>2.5853369205189725</v>
      </c>
      <c r="ES198" s="775">
        <f t="shared" si="269"/>
        <v>4.3584862557728004</v>
      </c>
      <c r="ET198" s="775">
        <f t="shared" si="270"/>
        <v>8.5704810911954894</v>
      </c>
      <c r="EU198" s="775">
        <f t="shared" si="271"/>
        <v>2.4156642248246407</v>
      </c>
      <c r="EV198" s="775">
        <f t="shared" si="272"/>
        <v>3.4392725028658866</v>
      </c>
      <c r="EW198" s="775">
        <f t="shared" si="273"/>
        <v>55.422648084373982</v>
      </c>
      <c r="EX198" s="775">
        <f t="shared" si="274"/>
        <v>8.9843729974157984</v>
      </c>
      <c r="EY198" s="775">
        <f t="shared" si="307"/>
        <v>25.603251541495304</v>
      </c>
      <c r="EZ198" s="775">
        <f t="shared" si="275"/>
        <v>11.637841609770591</v>
      </c>
      <c r="FA198" s="775">
        <f t="shared" si="276"/>
        <v>4.914735965379732</v>
      </c>
      <c r="FB198" s="775">
        <f t="shared" si="277"/>
        <v>3.67288261111015</v>
      </c>
      <c r="FC198" s="775"/>
      <c r="FD198" s="775"/>
      <c r="FE198" s="775"/>
      <c r="FF198" s="775"/>
      <c r="FG198" s="775"/>
      <c r="FH198" s="775"/>
      <c r="FI198" s="775"/>
      <c r="FJ198" s="775"/>
      <c r="FK198" s="775" t="b">
        <f t="shared" si="308"/>
        <v>0</v>
      </c>
      <c r="FL198" s="775">
        <f t="shared" si="278"/>
        <v>16.801494637935569</v>
      </c>
      <c r="FM198" s="775">
        <v>58</v>
      </c>
      <c r="FN198" s="775">
        <f t="shared" si="309"/>
        <v>21</v>
      </c>
      <c r="FO198" s="673">
        <f t="shared" si="312"/>
        <v>37.801494637935569</v>
      </c>
      <c r="FP198" s="673">
        <f t="shared" si="280"/>
        <v>24.403675819467587</v>
      </c>
      <c r="FQ198" s="775" t="b">
        <f t="shared" si="281"/>
        <v>1</v>
      </c>
      <c r="FR198" s="673"/>
      <c r="FS198" s="775">
        <f t="shared" si="282"/>
        <v>37.801494637935569</v>
      </c>
      <c r="FT198" s="775">
        <f t="shared" si="283"/>
        <v>9.8309594784874804E-2</v>
      </c>
      <c r="FU198" s="775">
        <f t="shared" si="284"/>
        <v>1.1580922758061244E-2</v>
      </c>
      <c r="FV198" s="775">
        <f t="shared" si="285"/>
        <v>1.5759784059079736</v>
      </c>
      <c r="FW198" s="775">
        <f t="shared" si="286"/>
        <v>0.85735165108366829</v>
      </c>
      <c r="FX198" s="775">
        <f t="shared" si="287"/>
        <v>43.581911117754778</v>
      </c>
      <c r="FY198" s="775">
        <f t="shared" si="288"/>
        <v>74.390838842515322</v>
      </c>
      <c r="FZ198" s="775">
        <f t="shared" si="289"/>
        <v>27.275254204454153</v>
      </c>
      <c r="GA198" s="775">
        <f t="shared" si="290"/>
        <v>42.058011894515943</v>
      </c>
      <c r="GB198" s="775">
        <f t="shared" si="291"/>
        <v>138.02667107796424</v>
      </c>
      <c r="GC198" s="775">
        <f t="shared" si="292"/>
        <v>5.6206176513790149</v>
      </c>
      <c r="GD198" s="775">
        <f t="shared" si="293"/>
        <v>4.2065783045078105</v>
      </c>
      <c r="GE198" s="775">
        <f t="shared" si="294"/>
        <v>1.9120810475035501</v>
      </c>
      <c r="GF198" s="775">
        <f t="shared" si="295"/>
        <v>38.659082224828502</v>
      </c>
      <c r="GG198" s="775">
        <f t="shared" si="296"/>
        <v>37.801494637935569</v>
      </c>
    </row>
    <row r="199" spans="70:189">
      <c r="BR199" s="775"/>
      <c r="BS199" s="775"/>
      <c r="BT199" s="775"/>
      <c r="BU199" s="775"/>
      <c r="BV199" s="775"/>
      <c r="BW199" s="775"/>
      <c r="BX199" s="775"/>
      <c r="BY199" s="775" t="b">
        <f t="shared" si="297"/>
        <v>0</v>
      </c>
      <c r="BZ199" s="775">
        <f t="shared" si="229"/>
        <v>24.560876197581425</v>
      </c>
      <c r="CA199" s="775">
        <v>59</v>
      </c>
      <c r="CB199" s="775">
        <f t="shared" si="310"/>
        <v>29.5</v>
      </c>
      <c r="CC199" s="673">
        <f t="shared" si="230"/>
        <v>4.9391238024185737</v>
      </c>
      <c r="CD199" s="91">
        <f t="shared" si="228"/>
        <v>2</v>
      </c>
      <c r="CE199" s="775" t="b">
        <f t="shared" si="231"/>
        <v>0</v>
      </c>
      <c r="CF199" s="673"/>
      <c r="CG199" s="775">
        <f t="shared" si="232"/>
        <v>4.9391238024185737</v>
      </c>
      <c r="CH199" s="775">
        <f t="shared" si="233"/>
        <v>4.3601529254921605E-2</v>
      </c>
      <c r="CI199" s="775">
        <f t="shared" si="234"/>
        <v>2.9162425384659267E-3</v>
      </c>
      <c r="CJ199" s="775">
        <f t="shared" si="235"/>
        <v>5.1953120762775091</v>
      </c>
      <c r="CK199" s="775">
        <f t="shared" si="236"/>
        <v>2.5868666425834861</v>
      </c>
      <c r="CL199" s="775">
        <f t="shared" si="237"/>
        <v>4.376778468120512</v>
      </c>
      <c r="CM199" s="775">
        <f t="shared" si="238"/>
        <v>8.606450703313584</v>
      </c>
      <c r="CN199" s="775">
        <f t="shared" si="239"/>
        <v>2.4210360735221341</v>
      </c>
      <c r="CO199" s="775">
        <f t="shared" si="240"/>
        <v>3.4467119665761357</v>
      </c>
      <c r="CP199" s="775">
        <f t="shared" si="241"/>
        <v>54.501911568652005</v>
      </c>
      <c r="CQ199" s="775">
        <f t="shared" si="242"/>
        <v>8.835115598581412</v>
      </c>
      <c r="CR199" s="775">
        <f t="shared" si="298"/>
        <v>26.035784051584891</v>
      </c>
      <c r="CS199" s="775">
        <f t="shared" si="243"/>
        <v>11.834447296174949</v>
      </c>
      <c r="CT199" s="775">
        <f t="shared" si="244"/>
        <v>4.9391238024185737</v>
      </c>
      <c r="CU199" s="775">
        <f t="shared" si="245"/>
        <v>3.6830634807105405</v>
      </c>
      <c r="CV199" s="775"/>
      <c r="CW199" s="775"/>
      <c r="CX199" s="775"/>
      <c r="CY199" s="775"/>
      <c r="CZ199" s="775"/>
      <c r="DA199" s="775"/>
      <c r="DB199" s="775"/>
      <c r="DC199" s="775"/>
      <c r="DD199" s="775" t="b">
        <f t="shared" si="299"/>
        <v>0</v>
      </c>
      <c r="DE199" s="775">
        <f t="shared" si="300"/>
        <v>12.17417313067034</v>
      </c>
      <c r="DF199" s="776">
        <v>60</v>
      </c>
      <c r="DG199" s="775">
        <f t="shared" si="301"/>
        <v>20.5</v>
      </c>
      <c r="DH199" s="673">
        <f t="shared" si="302"/>
        <v>32.67417313067034</v>
      </c>
      <c r="DI199" s="673">
        <f t="shared" si="246"/>
        <v>19</v>
      </c>
      <c r="DJ199" s="775" t="b">
        <f t="shared" si="247"/>
        <v>0</v>
      </c>
      <c r="DK199" s="673"/>
      <c r="DL199" s="775">
        <f t="shared" si="303"/>
        <v>32.67417313067034</v>
      </c>
      <c r="DM199" s="775">
        <f t="shared" si="304"/>
        <v>0.100360954404607</v>
      </c>
      <c r="DN199" s="775">
        <f t="shared" si="305"/>
        <v>1.1822574016589059E-2</v>
      </c>
      <c r="DO199" s="775">
        <f t="shared" si="248"/>
        <v>1.5690426255965912</v>
      </c>
      <c r="DP199" s="775">
        <f t="shared" si="249"/>
        <v>0.85529894095816505</v>
      </c>
      <c r="DQ199" s="775">
        <f t="shared" si="250"/>
        <v>33.75688819281639</v>
      </c>
      <c r="DR199" s="775">
        <f t="shared" si="251"/>
        <v>57.620310008699377</v>
      </c>
      <c r="DS199" s="775">
        <f t="shared" si="252"/>
        <v>27.157098794249691</v>
      </c>
      <c r="DT199" s="775">
        <f t="shared" si="253"/>
        <v>41.889355324764217</v>
      </c>
      <c r="DU199" s="775">
        <f t="shared" si="254"/>
        <v>140.90677998406824</v>
      </c>
      <c r="DV199" s="775">
        <f t="shared" si="255"/>
        <v>5.7378992668024447</v>
      </c>
      <c r="DW199" s="775">
        <f t="shared" si="256"/>
        <v>11.311171827077498</v>
      </c>
      <c r="DX199" s="775">
        <f t="shared" si="257"/>
        <v>5.1414417395806806</v>
      </c>
      <c r="DY199" s="775">
        <f t="shared" si="258"/>
        <v>32.67417313067034</v>
      </c>
      <c r="DZ199" s="775">
        <f t="shared" si="259"/>
        <v>37.705105591000816</v>
      </c>
      <c r="EA199" s="775"/>
      <c r="EB199" s="775"/>
      <c r="EC199" s="775"/>
      <c r="ED199" s="775"/>
      <c r="EE199" s="775"/>
      <c r="EF199" s="775" t="b">
        <f t="shared" si="306"/>
        <v>0</v>
      </c>
      <c r="EG199" s="775">
        <f t="shared" si="260"/>
        <v>24.560876197581425</v>
      </c>
      <c r="EH199" s="775">
        <v>59</v>
      </c>
      <c r="EI199" s="775">
        <f t="shared" si="311"/>
        <v>29.5</v>
      </c>
      <c r="EJ199" s="673">
        <f t="shared" si="261"/>
        <v>4.9391238024185737</v>
      </c>
      <c r="EK199" s="673">
        <f t="shared" si="262"/>
        <v>2.2510196371999172</v>
      </c>
      <c r="EL199" s="775" t="b">
        <f t="shared" si="263"/>
        <v>0</v>
      </c>
      <c r="EM199" s="673"/>
      <c r="EN199" s="775">
        <f t="shared" si="264"/>
        <v>4.9391238024185737</v>
      </c>
      <c r="EO199" s="775">
        <f t="shared" si="265"/>
        <v>4.3601529254921605E-2</v>
      </c>
      <c r="EP199" s="775">
        <f t="shared" si="266"/>
        <v>2.9162425384659267E-3</v>
      </c>
      <c r="EQ199" s="775">
        <f t="shared" si="267"/>
        <v>5.1953120762775091</v>
      </c>
      <c r="ER199" s="775">
        <f t="shared" si="268"/>
        <v>2.5868666425834861</v>
      </c>
      <c r="ES199" s="775">
        <f t="shared" si="269"/>
        <v>4.376778468120512</v>
      </c>
      <c r="ET199" s="775">
        <f t="shared" si="270"/>
        <v>8.606450703313584</v>
      </c>
      <c r="EU199" s="775">
        <f t="shared" si="271"/>
        <v>2.4210360735221341</v>
      </c>
      <c r="EV199" s="775">
        <f t="shared" si="272"/>
        <v>3.4467119665761357</v>
      </c>
      <c r="EW199" s="775">
        <f t="shared" si="273"/>
        <v>54.501911568652005</v>
      </c>
      <c r="EX199" s="775">
        <f t="shared" si="274"/>
        <v>8.835115598581412</v>
      </c>
      <c r="EY199" s="775">
        <f t="shared" si="307"/>
        <v>26.035784051584891</v>
      </c>
      <c r="EZ199" s="775">
        <f t="shared" si="275"/>
        <v>11.834447296174949</v>
      </c>
      <c r="FA199" s="775">
        <f t="shared" si="276"/>
        <v>4.9391238024185737</v>
      </c>
      <c r="FB199" s="775">
        <f t="shared" si="277"/>
        <v>3.6830634807105405</v>
      </c>
      <c r="FC199" s="775"/>
      <c r="FD199" s="775"/>
      <c r="FE199" s="775"/>
      <c r="FF199" s="775"/>
      <c r="FG199" s="775"/>
      <c r="FH199" s="775"/>
      <c r="FI199" s="775"/>
      <c r="FJ199" s="775"/>
      <c r="FK199" s="775" t="b">
        <f t="shared" si="308"/>
        <v>0</v>
      </c>
      <c r="FL199" s="775">
        <f t="shared" si="278"/>
        <v>17.205105591000816</v>
      </c>
      <c r="FM199" s="775">
        <v>59</v>
      </c>
      <c r="FN199" s="775">
        <f t="shared" si="309"/>
        <v>20.5</v>
      </c>
      <c r="FO199" s="673">
        <f t="shared" si="312"/>
        <v>37.705105591000816</v>
      </c>
      <c r="FP199" s="673">
        <f t="shared" si="280"/>
        <v>24.403675819467587</v>
      </c>
      <c r="FQ199" s="775" t="b">
        <f t="shared" si="281"/>
        <v>1</v>
      </c>
      <c r="FR199" s="673"/>
      <c r="FS199" s="775">
        <f t="shared" si="282"/>
        <v>37.705105591000816</v>
      </c>
      <c r="FT199" s="775">
        <f t="shared" si="283"/>
        <v>0.100360954404607</v>
      </c>
      <c r="FU199" s="775">
        <f t="shared" si="284"/>
        <v>1.1822574016589059E-2</v>
      </c>
      <c r="FV199" s="775">
        <f t="shared" si="285"/>
        <v>1.5690426255965912</v>
      </c>
      <c r="FW199" s="775">
        <f t="shared" si="286"/>
        <v>0.85529894095816505</v>
      </c>
      <c r="FX199" s="775">
        <f t="shared" si="287"/>
        <v>43.357481901658112</v>
      </c>
      <c r="FY199" s="775">
        <f t="shared" si="288"/>
        <v>74.007756108922266</v>
      </c>
      <c r="FZ199" s="775">
        <f t="shared" si="289"/>
        <v>27.157098794249691</v>
      </c>
      <c r="GA199" s="775">
        <f t="shared" si="290"/>
        <v>41.889355324764217</v>
      </c>
      <c r="GB199" s="775">
        <f t="shared" si="291"/>
        <v>140.90677998406824</v>
      </c>
      <c r="GC199" s="775">
        <f t="shared" si="292"/>
        <v>5.7378992668024447</v>
      </c>
      <c r="GD199" s="775">
        <f t="shared" si="293"/>
        <v>4.1205966105083682</v>
      </c>
      <c r="GE199" s="775">
        <f t="shared" si="294"/>
        <v>1.8729984593219855</v>
      </c>
      <c r="GF199" s="775">
        <f t="shared" si="295"/>
        <v>38.534270690688096</v>
      </c>
      <c r="GG199" s="775">
        <f t="shared" si="296"/>
        <v>37.705105591000816</v>
      </c>
    </row>
    <row r="200" spans="70:189">
      <c r="BR200" s="775"/>
      <c r="BS200" s="775"/>
      <c r="BT200" s="775"/>
      <c r="BU200" s="775"/>
      <c r="BV200" s="775"/>
      <c r="BW200" s="775"/>
      <c r="BX200" s="775"/>
      <c r="BY200" s="775" t="b">
        <f t="shared" si="297"/>
        <v>0</v>
      </c>
      <c r="BZ200" s="775">
        <f t="shared" si="229"/>
        <v>25.036810743667694</v>
      </c>
      <c r="CA200" s="775">
        <v>60</v>
      </c>
      <c r="CB200" s="775">
        <f t="shared" si="310"/>
        <v>30</v>
      </c>
      <c r="CC200" s="673">
        <f t="shared" si="230"/>
        <v>4.9631892563323072</v>
      </c>
      <c r="CD200" s="91">
        <f t="shared" si="228"/>
        <v>2</v>
      </c>
      <c r="CE200" s="775" t="b">
        <f t="shared" si="231"/>
        <v>0</v>
      </c>
      <c r="CF200" s="673"/>
      <c r="CG200" s="775">
        <f t="shared" si="232"/>
        <v>4.9631892563323072</v>
      </c>
      <c r="CH200" s="775">
        <f t="shared" si="233"/>
        <v>4.2889251572393448E-2</v>
      </c>
      <c r="CI200" s="775">
        <f t="shared" si="234"/>
        <v>2.8686025929758477E-3</v>
      </c>
      <c r="CJ200" s="775">
        <f t="shared" si="235"/>
        <v>5.2013978072967655</v>
      </c>
      <c r="CK200" s="775">
        <f t="shared" si="236"/>
        <v>2.5883484607261544</v>
      </c>
      <c r="CL200" s="775">
        <f t="shared" si="237"/>
        <v>4.3948380782498617</v>
      </c>
      <c r="CM200" s="775">
        <f t="shared" si="238"/>
        <v>8.6419629288994635</v>
      </c>
      <c r="CN200" s="775">
        <f t="shared" si="239"/>
        <v>2.4263280991743739</v>
      </c>
      <c r="CO200" s="775">
        <f t="shared" si="240"/>
        <v>3.4540411711605556</v>
      </c>
      <c r="CP200" s="775">
        <f t="shared" si="241"/>
        <v>53.61156446549181</v>
      </c>
      <c r="CQ200" s="775">
        <f t="shared" si="242"/>
        <v>8.69078452187461</v>
      </c>
      <c r="CR200" s="775">
        <f t="shared" si="298"/>
        <v>26.46816995824415</v>
      </c>
      <c r="CS200" s="775">
        <f t="shared" si="243"/>
        <v>12.030986344656432</v>
      </c>
      <c r="CT200" s="775">
        <f t="shared" si="244"/>
        <v>4.9631892563323072</v>
      </c>
      <c r="CU200" s="775">
        <f t="shared" si="245"/>
        <v>3.6930913570192376</v>
      </c>
      <c r="CV200" s="775"/>
      <c r="CW200" s="775"/>
      <c r="CX200" s="775"/>
      <c r="CY200" s="775"/>
      <c r="CZ200" s="775"/>
      <c r="DA200" s="775"/>
      <c r="DB200" s="775"/>
      <c r="DC200" s="775"/>
      <c r="DD200" s="775" t="b">
        <f t="shared" si="299"/>
        <v>0</v>
      </c>
      <c r="DE200" s="775">
        <f t="shared" si="300"/>
        <v>12.554877027368491</v>
      </c>
      <c r="DF200" s="776">
        <v>61</v>
      </c>
      <c r="DG200" s="775">
        <f t="shared" si="301"/>
        <v>20</v>
      </c>
      <c r="DH200" s="673">
        <f t="shared" si="302"/>
        <v>32.554877027368491</v>
      </c>
      <c r="DI200" s="673">
        <f t="shared" si="246"/>
        <v>19</v>
      </c>
      <c r="DJ200" s="775" t="b">
        <f t="shared" si="247"/>
        <v>0</v>
      </c>
      <c r="DK200" s="673"/>
      <c r="DL200" s="775">
        <f t="shared" si="303"/>
        <v>32.554877027368491</v>
      </c>
      <c r="DM200" s="775">
        <f t="shared" si="304"/>
        <v>0.10250738043741088</v>
      </c>
      <c r="DN200" s="775">
        <f t="shared" si="305"/>
        <v>1.2075424149337424E-2</v>
      </c>
      <c r="DO200" s="775">
        <f t="shared" si="248"/>
        <v>1.5618697659652636</v>
      </c>
      <c r="DP200" s="775">
        <f t="shared" si="249"/>
        <v>0.85316680857042149</v>
      </c>
      <c r="DQ200" s="775">
        <f t="shared" si="250"/>
        <v>33.578772579380562</v>
      </c>
      <c r="DR200" s="775">
        <f t="shared" si="251"/>
        <v>57.316280893072957</v>
      </c>
      <c r="DS200" s="775">
        <f t="shared" si="252"/>
        <v>27.036475592504782</v>
      </c>
      <c r="DT200" s="775">
        <f t="shared" si="253"/>
        <v>41.717093237404235</v>
      </c>
      <c r="DU200" s="775">
        <f t="shared" si="254"/>
        <v>143.92036213412487</v>
      </c>
      <c r="DV200" s="775">
        <f t="shared" si="255"/>
        <v>5.8606160786635488</v>
      </c>
      <c r="DW200" s="775">
        <f t="shared" si="256"/>
        <v>11.074324552592895</v>
      </c>
      <c r="DX200" s="775">
        <f t="shared" si="257"/>
        <v>5.0337838875422243</v>
      </c>
      <c r="DY200" s="775">
        <f t="shared" si="258"/>
        <v>32.554877027368491</v>
      </c>
      <c r="DZ200" s="775">
        <f t="shared" si="259"/>
        <v>37.60634706653839</v>
      </c>
      <c r="EA200" s="775"/>
      <c r="EB200" s="775"/>
      <c r="EC200" s="775"/>
      <c r="ED200" s="775"/>
      <c r="EE200" s="775"/>
      <c r="EF200" s="775" t="b">
        <f t="shared" si="306"/>
        <v>0</v>
      </c>
      <c r="EG200" s="775">
        <f t="shared" si="260"/>
        <v>25.036810743667694</v>
      </c>
      <c r="EH200" s="775">
        <v>60</v>
      </c>
      <c r="EI200" s="775">
        <f t="shared" si="311"/>
        <v>30</v>
      </c>
      <c r="EJ200" s="673">
        <f t="shared" si="261"/>
        <v>4.9631892563323072</v>
      </c>
      <c r="EK200" s="673">
        <f t="shared" si="262"/>
        <v>2.2510196371999172</v>
      </c>
      <c r="EL200" s="775" t="b">
        <f t="shared" si="263"/>
        <v>0</v>
      </c>
      <c r="EM200" s="673"/>
      <c r="EN200" s="775">
        <f t="shared" si="264"/>
        <v>4.9631892563323072</v>
      </c>
      <c r="EO200" s="775">
        <f t="shared" si="265"/>
        <v>4.2889251572393448E-2</v>
      </c>
      <c r="EP200" s="775">
        <f t="shared" si="266"/>
        <v>2.8686025929758477E-3</v>
      </c>
      <c r="EQ200" s="775">
        <f t="shared" si="267"/>
        <v>5.2013978072967655</v>
      </c>
      <c r="ER200" s="775">
        <f t="shared" si="268"/>
        <v>2.5883484607261544</v>
      </c>
      <c r="ES200" s="775">
        <f t="shared" si="269"/>
        <v>4.3948380782498617</v>
      </c>
      <c r="ET200" s="775">
        <f t="shared" si="270"/>
        <v>8.6419629288994635</v>
      </c>
      <c r="EU200" s="775">
        <f t="shared" si="271"/>
        <v>2.4263280991743739</v>
      </c>
      <c r="EV200" s="775">
        <f t="shared" si="272"/>
        <v>3.4540411711605556</v>
      </c>
      <c r="EW200" s="775">
        <f t="shared" si="273"/>
        <v>53.61156446549181</v>
      </c>
      <c r="EX200" s="775">
        <f t="shared" si="274"/>
        <v>8.69078452187461</v>
      </c>
      <c r="EY200" s="775">
        <f t="shared" si="307"/>
        <v>26.46816995824415</v>
      </c>
      <c r="EZ200" s="775">
        <f t="shared" si="275"/>
        <v>12.030986344656432</v>
      </c>
      <c r="FA200" s="775">
        <f t="shared" si="276"/>
        <v>4.9631892563323072</v>
      </c>
      <c r="FB200" s="775">
        <f t="shared" si="277"/>
        <v>3.6930913570192376</v>
      </c>
      <c r="FC200" s="775"/>
      <c r="FD200" s="775"/>
      <c r="FE200" s="775"/>
      <c r="FF200" s="775"/>
      <c r="FG200" s="775"/>
      <c r="FH200" s="775"/>
      <c r="FI200" s="775"/>
      <c r="FJ200" s="775"/>
      <c r="FK200" s="775" t="b">
        <f t="shared" si="308"/>
        <v>0</v>
      </c>
      <c r="FL200" s="775">
        <f t="shared" si="278"/>
        <v>17.60634706653839</v>
      </c>
      <c r="FM200" s="775">
        <v>60</v>
      </c>
      <c r="FN200" s="775">
        <f t="shared" si="309"/>
        <v>20</v>
      </c>
      <c r="FO200" s="673">
        <f t="shared" si="312"/>
        <v>37.60634706653839</v>
      </c>
      <c r="FP200" s="673">
        <f t="shared" si="280"/>
        <v>24.403675819467587</v>
      </c>
      <c r="FQ200" s="775" t="b">
        <f t="shared" si="281"/>
        <v>1</v>
      </c>
      <c r="FR200" s="673"/>
      <c r="FS200" s="775">
        <f t="shared" si="282"/>
        <v>37.60634706653839</v>
      </c>
      <c r="FT200" s="775">
        <f t="shared" si="283"/>
        <v>0.10250738043741088</v>
      </c>
      <c r="FU200" s="775">
        <f t="shared" si="284"/>
        <v>1.2075424149337424E-2</v>
      </c>
      <c r="FV200" s="775">
        <f t="shared" si="285"/>
        <v>1.5618697659652636</v>
      </c>
      <c r="FW200" s="775">
        <f t="shared" si="286"/>
        <v>0.85316680857042149</v>
      </c>
      <c r="FX200" s="775">
        <f t="shared" si="287"/>
        <v>43.128709496991092</v>
      </c>
      <c r="FY200" s="775">
        <f t="shared" si="288"/>
        <v>73.617259899584027</v>
      </c>
      <c r="FZ200" s="775">
        <f t="shared" si="289"/>
        <v>27.036475592504782</v>
      </c>
      <c r="GA200" s="775">
        <f t="shared" si="290"/>
        <v>41.717093237404235</v>
      </c>
      <c r="GB200" s="775">
        <f t="shared" si="291"/>
        <v>143.92036213412487</v>
      </c>
      <c r="GC200" s="775">
        <f t="shared" si="292"/>
        <v>5.8606160786635488</v>
      </c>
      <c r="GD200" s="775">
        <f t="shared" si="293"/>
        <v>4.0343144735760053</v>
      </c>
      <c r="GE200" s="775">
        <f t="shared" si="294"/>
        <v>1.8337793061709113</v>
      </c>
      <c r="GF200" s="775">
        <f t="shared" si="295"/>
        <v>38.406519946397523</v>
      </c>
      <c r="GG200" s="775">
        <f t="shared" si="296"/>
        <v>37.60634706653839</v>
      </c>
    </row>
    <row r="201" spans="70:189">
      <c r="BR201" s="775"/>
      <c r="BS201" s="775"/>
      <c r="BT201" s="775"/>
      <c r="BU201" s="775"/>
      <c r="BV201" s="775"/>
      <c r="BW201" s="775"/>
      <c r="BX201" s="775"/>
      <c r="BY201" s="775" t="b">
        <f t="shared" si="297"/>
        <v>0</v>
      </c>
      <c r="BZ201" s="775">
        <f t="shared" si="229"/>
        <v>25.513058189301333</v>
      </c>
      <c r="CA201" s="775">
        <v>61</v>
      </c>
      <c r="CB201" s="775">
        <f t="shared" si="310"/>
        <v>30.5</v>
      </c>
      <c r="CC201" s="673">
        <f t="shared" si="230"/>
        <v>4.986941810698668</v>
      </c>
      <c r="CD201" s="91">
        <f t="shared" si="228"/>
        <v>2</v>
      </c>
      <c r="CE201" s="775" t="b">
        <f t="shared" si="231"/>
        <v>0</v>
      </c>
      <c r="CF201" s="673"/>
      <c r="CG201" s="775">
        <f t="shared" si="232"/>
        <v>4.986941810698668</v>
      </c>
      <c r="CH201" s="775">
        <f t="shared" si="233"/>
        <v>4.2200097544984279E-2</v>
      </c>
      <c r="CI201" s="775">
        <f t="shared" si="234"/>
        <v>2.8225092488975805E-3</v>
      </c>
      <c r="CJ201" s="775">
        <f t="shared" si="235"/>
        <v>5.207303642960583</v>
      </c>
      <c r="CK201" s="775">
        <f t="shared" si="236"/>
        <v>2.5897845990616828</v>
      </c>
      <c r="CL201" s="775">
        <f t="shared" si="237"/>
        <v>4.4126718477753792</v>
      </c>
      <c r="CM201" s="775">
        <f t="shared" si="238"/>
        <v>8.6770310639201345</v>
      </c>
      <c r="CN201" s="775">
        <f t="shared" si="239"/>
        <v>2.4315427904668683</v>
      </c>
      <c r="CO201" s="775">
        <f t="shared" si="240"/>
        <v>3.4612635495652544</v>
      </c>
      <c r="CP201" s="775">
        <f t="shared" si="241"/>
        <v>52.750121931230346</v>
      </c>
      <c r="CQ201" s="775">
        <f t="shared" si="242"/>
        <v>8.5511390644460583</v>
      </c>
      <c r="CR201" s="775">
        <f t="shared" si="298"/>
        <v>26.900411753548777</v>
      </c>
      <c r="CS201" s="775">
        <f t="shared" si="243"/>
        <v>12.227459887976716</v>
      </c>
      <c r="CT201" s="775">
        <f t="shared" si="244"/>
        <v>4.986941810698668</v>
      </c>
      <c r="CU201" s="775">
        <f t="shared" si="245"/>
        <v>3.7029710304632193</v>
      </c>
      <c r="CV201" s="775"/>
      <c r="CW201" s="775"/>
      <c r="CX201" s="775"/>
      <c r="CY201" s="775"/>
      <c r="CZ201" s="775"/>
      <c r="DA201" s="775"/>
      <c r="DB201" s="775"/>
      <c r="DC201" s="775"/>
      <c r="DD201" s="775" t="b">
        <f t="shared" si="299"/>
        <v>0</v>
      </c>
      <c r="DE201" s="775">
        <f t="shared" si="300"/>
        <v>12.932777765783555</v>
      </c>
      <c r="DF201" s="776">
        <v>62</v>
      </c>
      <c r="DG201" s="775">
        <f t="shared" si="301"/>
        <v>19.5</v>
      </c>
      <c r="DH201" s="673">
        <f t="shared" si="302"/>
        <v>32.432777765783555</v>
      </c>
      <c r="DI201" s="673">
        <f t="shared" si="246"/>
        <v>19</v>
      </c>
      <c r="DJ201" s="775" t="b">
        <f t="shared" si="247"/>
        <v>0</v>
      </c>
      <c r="DK201" s="673"/>
      <c r="DL201" s="775">
        <f t="shared" si="303"/>
        <v>32.432777765783555</v>
      </c>
      <c r="DM201" s="775">
        <f t="shared" si="304"/>
        <v>0.10475582456507555</v>
      </c>
      <c r="DN201" s="775">
        <f t="shared" si="305"/>
        <v>1.2340292068132946E-2</v>
      </c>
      <c r="DO201" s="775">
        <f t="shared" si="248"/>
        <v>1.5544467244901237</v>
      </c>
      <c r="DP201" s="775">
        <f t="shared" si="249"/>
        <v>0.85095034937109404</v>
      </c>
      <c r="DQ201" s="775">
        <f t="shared" si="250"/>
        <v>33.397122997992092</v>
      </c>
      <c r="DR201" s="775">
        <f t="shared" si="251"/>
        <v>57.006219576616012</v>
      </c>
      <c r="DS201" s="775">
        <f t="shared" si="252"/>
        <v>26.913269985812335</v>
      </c>
      <c r="DT201" s="775">
        <f t="shared" si="253"/>
        <v>41.541056292156284</v>
      </c>
      <c r="DU201" s="775">
        <f t="shared" si="254"/>
        <v>147.07717768936607</v>
      </c>
      <c r="DV201" s="775">
        <f t="shared" si="255"/>
        <v>5.9891655328622537</v>
      </c>
      <c r="DW201" s="775">
        <f t="shared" si="256"/>
        <v>10.836628938897812</v>
      </c>
      <c r="DX201" s="775">
        <f t="shared" si="257"/>
        <v>4.925740426771732</v>
      </c>
      <c r="DY201" s="775">
        <f t="shared" si="258"/>
        <v>32.432777765783555</v>
      </c>
      <c r="DZ201" s="775">
        <f t="shared" si="259"/>
        <v>37.505100377076722</v>
      </c>
      <c r="EA201" s="775"/>
      <c r="EB201" s="775"/>
      <c r="EC201" s="775"/>
      <c r="ED201" s="775"/>
      <c r="EE201" s="775"/>
      <c r="EF201" s="775" t="b">
        <f t="shared" si="306"/>
        <v>0</v>
      </c>
      <c r="EG201" s="775">
        <f t="shared" si="260"/>
        <v>25.513058189301333</v>
      </c>
      <c r="EH201" s="775">
        <v>61</v>
      </c>
      <c r="EI201" s="775">
        <f t="shared" si="311"/>
        <v>30.5</v>
      </c>
      <c r="EJ201" s="673">
        <f t="shared" si="261"/>
        <v>4.986941810698668</v>
      </c>
      <c r="EK201" s="673">
        <f t="shared" si="262"/>
        <v>2.2510196371999172</v>
      </c>
      <c r="EL201" s="775" t="b">
        <f t="shared" si="263"/>
        <v>0</v>
      </c>
      <c r="EM201" s="673"/>
      <c r="EN201" s="775">
        <f t="shared" si="264"/>
        <v>4.986941810698668</v>
      </c>
      <c r="EO201" s="775">
        <f t="shared" si="265"/>
        <v>4.2200097544984279E-2</v>
      </c>
      <c r="EP201" s="775">
        <f t="shared" si="266"/>
        <v>2.8225092488975805E-3</v>
      </c>
      <c r="EQ201" s="775">
        <f t="shared" si="267"/>
        <v>5.207303642960583</v>
      </c>
      <c r="ER201" s="775">
        <f t="shared" si="268"/>
        <v>2.5897845990616828</v>
      </c>
      <c r="ES201" s="775">
        <f t="shared" si="269"/>
        <v>4.4126718477753792</v>
      </c>
      <c r="ET201" s="775">
        <f t="shared" si="270"/>
        <v>8.6770310639201345</v>
      </c>
      <c r="EU201" s="775">
        <f t="shared" si="271"/>
        <v>2.4315427904668683</v>
      </c>
      <c r="EV201" s="775">
        <f t="shared" si="272"/>
        <v>3.4612635495652544</v>
      </c>
      <c r="EW201" s="775">
        <f t="shared" si="273"/>
        <v>52.750121931230346</v>
      </c>
      <c r="EX201" s="775">
        <f t="shared" si="274"/>
        <v>8.5511390644460583</v>
      </c>
      <c r="EY201" s="775">
        <f t="shared" si="307"/>
        <v>26.900411753548777</v>
      </c>
      <c r="EZ201" s="775">
        <f t="shared" si="275"/>
        <v>12.227459887976716</v>
      </c>
      <c r="FA201" s="775">
        <f t="shared" si="276"/>
        <v>4.986941810698668</v>
      </c>
      <c r="FB201" s="775">
        <f t="shared" si="277"/>
        <v>3.7029710304632193</v>
      </c>
      <c r="FC201" s="775"/>
      <c r="FD201" s="775"/>
      <c r="FE201" s="775"/>
      <c r="FF201" s="775"/>
      <c r="FG201" s="775"/>
      <c r="FH201" s="775"/>
      <c r="FI201" s="775"/>
      <c r="FJ201" s="775"/>
      <c r="FK201" s="775" t="b">
        <f t="shared" si="308"/>
        <v>0</v>
      </c>
      <c r="FL201" s="775">
        <f t="shared" si="278"/>
        <v>18.005100377076722</v>
      </c>
      <c r="FM201" s="775">
        <v>61</v>
      </c>
      <c r="FN201" s="775">
        <f t="shared" si="309"/>
        <v>19.5</v>
      </c>
      <c r="FO201" s="673">
        <f t="shared" si="312"/>
        <v>37.505100377076722</v>
      </c>
      <c r="FP201" s="673">
        <f t="shared" si="280"/>
        <v>24.403675819467587</v>
      </c>
      <c r="FQ201" s="775" t="b">
        <f t="shared" si="281"/>
        <v>1</v>
      </c>
      <c r="FR201" s="673"/>
      <c r="FS201" s="775">
        <f t="shared" si="282"/>
        <v>37.505100377076722</v>
      </c>
      <c r="FT201" s="775">
        <f t="shared" si="283"/>
        <v>0.10475582456507555</v>
      </c>
      <c r="FU201" s="775">
        <f t="shared" si="284"/>
        <v>1.2340292068132946E-2</v>
      </c>
      <c r="FV201" s="775">
        <f t="shared" si="285"/>
        <v>1.5544467244901237</v>
      </c>
      <c r="FW201" s="775">
        <f t="shared" si="286"/>
        <v>0.85095034937109404</v>
      </c>
      <c r="FX201" s="775">
        <f t="shared" si="287"/>
        <v>42.895398049783395</v>
      </c>
      <c r="FY201" s="775">
        <f t="shared" si="288"/>
        <v>73.219015907427575</v>
      </c>
      <c r="FZ201" s="775">
        <f t="shared" si="289"/>
        <v>26.913269985812335</v>
      </c>
      <c r="GA201" s="775">
        <f t="shared" si="290"/>
        <v>41.541056292156284</v>
      </c>
      <c r="GB201" s="775">
        <f t="shared" si="291"/>
        <v>147.07717768936607</v>
      </c>
      <c r="GC201" s="775">
        <f t="shared" si="292"/>
        <v>5.9891655328622537</v>
      </c>
      <c r="GD201" s="775">
        <f t="shared" si="293"/>
        <v>3.947723291415727</v>
      </c>
      <c r="GE201" s="775">
        <f t="shared" si="294"/>
        <v>1.7944196779162394</v>
      </c>
      <c r="GF201" s="775">
        <f t="shared" si="295"/>
        <v>38.275686410282937</v>
      </c>
      <c r="GG201" s="775">
        <f t="shared" si="296"/>
        <v>37.505100377076722</v>
      </c>
    </row>
    <row r="202" spans="70:189">
      <c r="BR202" s="775"/>
      <c r="BS202" s="775"/>
      <c r="BT202" s="775"/>
      <c r="BU202" s="775"/>
      <c r="BV202" s="775"/>
      <c r="BW202" s="775"/>
      <c r="BX202" s="775"/>
      <c r="BY202" s="775" t="b">
        <f t="shared" si="297"/>
        <v>0</v>
      </c>
      <c r="BZ202" s="775">
        <f t="shared" si="229"/>
        <v>25.989609479419414</v>
      </c>
      <c r="CA202" s="775">
        <v>62</v>
      </c>
      <c r="CB202" s="775">
        <f t="shared" si="310"/>
        <v>31</v>
      </c>
      <c r="CC202" s="673">
        <f t="shared" si="230"/>
        <v>5.010390520580585</v>
      </c>
      <c r="CD202" s="91">
        <f t="shared" si="228"/>
        <v>2</v>
      </c>
      <c r="CE202" s="775" t="b">
        <f t="shared" si="231"/>
        <v>0</v>
      </c>
      <c r="CF202" s="673"/>
      <c r="CG202" s="775">
        <f t="shared" si="232"/>
        <v>5.010390520580585</v>
      </c>
      <c r="CH202" s="775">
        <f t="shared" si="233"/>
        <v>4.1532955564141771E-2</v>
      </c>
      <c r="CI202" s="775">
        <f t="shared" si="234"/>
        <v>2.7778881574593776E-3</v>
      </c>
      <c r="CJ202" s="775">
        <f t="shared" si="235"/>
        <v>5.2130374799515264</v>
      </c>
      <c r="CK202" s="775">
        <f t="shared" si="236"/>
        <v>2.5911771458284814</v>
      </c>
      <c r="CL202" s="775">
        <f t="shared" si="237"/>
        <v>4.4302862347765917</v>
      </c>
      <c r="CM202" s="775">
        <f t="shared" si="238"/>
        <v>8.7116678074746066</v>
      </c>
      <c r="CN202" s="775">
        <f t="shared" si="239"/>
        <v>2.4366825192259416</v>
      </c>
      <c r="CO202" s="775">
        <f t="shared" si="240"/>
        <v>3.4683823736849289</v>
      </c>
      <c r="CP202" s="775">
        <f t="shared" si="241"/>
        <v>51.916194455177212</v>
      </c>
      <c r="CQ202" s="775">
        <f t="shared" si="242"/>
        <v>8.4159539775435199</v>
      </c>
      <c r="CR202" s="775">
        <f t="shared" si="298"/>
        <v>27.33251184705226</v>
      </c>
      <c r="CS202" s="775">
        <f t="shared" si="243"/>
        <v>12.423869021387389</v>
      </c>
      <c r="CT202" s="775">
        <f t="shared" si="244"/>
        <v>5.010390520580585</v>
      </c>
      <c r="CU202" s="775">
        <f t="shared" si="245"/>
        <v>3.7127070659594761</v>
      </c>
      <c r="CV202" s="775"/>
      <c r="CW202" s="775"/>
      <c r="CX202" s="775"/>
      <c r="CY202" s="775"/>
      <c r="CZ202" s="775"/>
      <c r="DA202" s="775"/>
      <c r="DB202" s="775"/>
      <c r="DC202" s="775"/>
      <c r="DD202" s="775" t="b">
        <f t="shared" si="299"/>
        <v>0</v>
      </c>
      <c r="DE202" s="775">
        <f t="shared" si="300"/>
        <v>13.307736667953641</v>
      </c>
      <c r="DF202" s="776">
        <v>63</v>
      </c>
      <c r="DG202" s="775">
        <f t="shared" si="301"/>
        <v>19</v>
      </c>
      <c r="DH202" s="673">
        <f t="shared" si="302"/>
        <v>32.307736667953641</v>
      </c>
      <c r="DI202" s="673">
        <f t="shared" si="246"/>
        <v>19</v>
      </c>
      <c r="DJ202" s="775" t="b">
        <f t="shared" si="247"/>
        <v>0</v>
      </c>
      <c r="DK202" s="673"/>
      <c r="DL202" s="775">
        <f t="shared" si="303"/>
        <v>32.307736667953641</v>
      </c>
      <c r="DM202" s="775">
        <f t="shared" si="304"/>
        <v>0.10711394276674077</v>
      </c>
      <c r="DN202" s="775">
        <f t="shared" si="305"/>
        <v>1.2618079651406199E-2</v>
      </c>
      <c r="DO202" s="775">
        <f t="shared" si="248"/>
        <v>1.5467593750166215</v>
      </c>
      <c r="DP202" s="775">
        <f t="shared" si="249"/>
        <v>0.84864423548746126</v>
      </c>
      <c r="DQ202" s="775">
        <f t="shared" si="250"/>
        <v>33.211775956796103</v>
      </c>
      <c r="DR202" s="775">
        <f t="shared" si="251"/>
        <v>56.689846991799946</v>
      </c>
      <c r="DS202" s="775">
        <f t="shared" si="252"/>
        <v>26.78735894110558</v>
      </c>
      <c r="DT202" s="775">
        <f t="shared" si="253"/>
        <v>41.361062617843245</v>
      </c>
      <c r="DU202" s="775">
        <f t="shared" si="254"/>
        <v>150.38797564450405</v>
      </c>
      <c r="DV202" s="775">
        <f t="shared" si="255"/>
        <v>6.123985341827197</v>
      </c>
      <c r="DW202" s="775">
        <f t="shared" si="256"/>
        <v>10.59806007208693</v>
      </c>
      <c r="DX202" s="775">
        <f t="shared" si="257"/>
        <v>4.8173000327667861</v>
      </c>
      <c r="DY202" s="775">
        <f t="shared" si="258"/>
        <v>32.307736667953641</v>
      </c>
      <c r="DZ202" s="775">
        <f t="shared" si="259"/>
        <v>37.40123768281309</v>
      </c>
      <c r="EA202" s="775"/>
      <c r="EB202" s="775"/>
      <c r="EC202" s="775"/>
      <c r="ED202" s="775"/>
      <c r="EE202" s="775"/>
      <c r="EF202" s="775" t="b">
        <f t="shared" si="306"/>
        <v>0</v>
      </c>
      <c r="EG202" s="775">
        <f t="shared" si="260"/>
        <v>25.989609479419414</v>
      </c>
      <c r="EH202" s="775">
        <v>62</v>
      </c>
      <c r="EI202" s="775">
        <f t="shared" si="311"/>
        <v>31</v>
      </c>
      <c r="EJ202" s="673">
        <f t="shared" si="261"/>
        <v>5.010390520580585</v>
      </c>
      <c r="EK202" s="673">
        <f t="shared" si="262"/>
        <v>2.2510196371999172</v>
      </c>
      <c r="EL202" s="775" t="b">
        <f t="shared" si="263"/>
        <v>0</v>
      </c>
      <c r="EM202" s="673"/>
      <c r="EN202" s="775">
        <f t="shared" si="264"/>
        <v>5.010390520580585</v>
      </c>
      <c r="EO202" s="775">
        <f t="shared" si="265"/>
        <v>4.1532955564141771E-2</v>
      </c>
      <c r="EP202" s="775">
        <f t="shared" si="266"/>
        <v>2.7778881574593776E-3</v>
      </c>
      <c r="EQ202" s="775">
        <f t="shared" si="267"/>
        <v>5.2130374799515264</v>
      </c>
      <c r="ER202" s="775">
        <f t="shared" si="268"/>
        <v>2.5911771458284814</v>
      </c>
      <c r="ES202" s="775">
        <f t="shared" si="269"/>
        <v>4.4302862347765917</v>
      </c>
      <c r="ET202" s="775">
        <f t="shared" si="270"/>
        <v>8.7116678074746066</v>
      </c>
      <c r="EU202" s="775">
        <f t="shared" si="271"/>
        <v>2.4366825192259416</v>
      </c>
      <c r="EV202" s="775">
        <f t="shared" si="272"/>
        <v>3.4683823736849289</v>
      </c>
      <c r="EW202" s="775">
        <f t="shared" si="273"/>
        <v>51.916194455177212</v>
      </c>
      <c r="EX202" s="775">
        <f t="shared" si="274"/>
        <v>8.4159539775435199</v>
      </c>
      <c r="EY202" s="775">
        <f t="shared" si="307"/>
        <v>27.33251184705226</v>
      </c>
      <c r="EZ202" s="775">
        <f t="shared" si="275"/>
        <v>12.423869021387389</v>
      </c>
      <c r="FA202" s="775">
        <f t="shared" si="276"/>
        <v>5.010390520580585</v>
      </c>
      <c r="FB202" s="775">
        <f t="shared" si="277"/>
        <v>3.7127070659594761</v>
      </c>
      <c r="FC202" s="775"/>
      <c r="FD202" s="775"/>
      <c r="FE202" s="775"/>
      <c r="FF202" s="775"/>
      <c r="FG202" s="775"/>
      <c r="FH202" s="775"/>
      <c r="FI202" s="775"/>
      <c r="FJ202" s="775"/>
      <c r="FK202" s="775" t="b">
        <f t="shared" si="308"/>
        <v>0</v>
      </c>
      <c r="FL202" s="775">
        <f t="shared" si="278"/>
        <v>18.40123768281309</v>
      </c>
      <c r="FM202" s="775">
        <v>62</v>
      </c>
      <c r="FN202" s="775">
        <f t="shared" si="309"/>
        <v>19</v>
      </c>
      <c r="FO202" s="673">
        <f t="shared" si="312"/>
        <v>37.40123768281309</v>
      </c>
      <c r="FP202" s="673">
        <f t="shared" si="280"/>
        <v>24.403675819467587</v>
      </c>
      <c r="FQ202" s="775" t="b">
        <f t="shared" si="281"/>
        <v>1</v>
      </c>
      <c r="FR202" s="673"/>
      <c r="FS202" s="775">
        <f t="shared" si="282"/>
        <v>37.40123768281309</v>
      </c>
      <c r="FT202" s="775">
        <f t="shared" si="283"/>
        <v>0.10711394276674077</v>
      </c>
      <c r="FU202" s="775">
        <f t="shared" si="284"/>
        <v>1.2618079651406199E-2</v>
      </c>
      <c r="FV202" s="775">
        <f t="shared" si="285"/>
        <v>1.5467593750166215</v>
      </c>
      <c r="FW202" s="775">
        <f t="shared" si="286"/>
        <v>0.84864423548746126</v>
      </c>
      <c r="FX202" s="775">
        <f t="shared" si="287"/>
        <v>42.657337570444213</v>
      </c>
      <c r="FY202" s="775">
        <f t="shared" si="288"/>
        <v>72.812665697005556</v>
      </c>
      <c r="FZ202" s="775">
        <f t="shared" si="289"/>
        <v>26.78735894110558</v>
      </c>
      <c r="GA202" s="775">
        <f t="shared" si="290"/>
        <v>41.361062617843245</v>
      </c>
      <c r="GB202" s="775">
        <f t="shared" si="291"/>
        <v>150.38797564450405</v>
      </c>
      <c r="GC202" s="775">
        <f t="shared" si="292"/>
        <v>6.123985341827197</v>
      </c>
      <c r="GD202" s="775">
        <f t="shared" si="293"/>
        <v>3.8608139880312224</v>
      </c>
      <c r="GE202" s="775">
        <f t="shared" si="294"/>
        <v>1.7549154491051009</v>
      </c>
      <c r="GF202" s="775">
        <f t="shared" si="295"/>
        <v>38.141615621049311</v>
      </c>
      <c r="GG202" s="775">
        <f t="shared" si="296"/>
        <v>37.40123768281309</v>
      </c>
    </row>
    <row r="203" spans="70:189">
      <c r="BR203" s="775"/>
      <c r="BS203" s="775"/>
      <c r="BT203" s="775"/>
      <c r="BU203" s="775"/>
      <c r="BV203" s="775"/>
      <c r="BW203" s="775"/>
      <c r="BX203" s="775"/>
      <c r="BY203" s="775" t="b">
        <f t="shared" si="297"/>
        <v>0</v>
      </c>
      <c r="BZ203" s="775">
        <f t="shared" si="229"/>
        <v>26.466455961562211</v>
      </c>
      <c r="CA203" s="775">
        <v>63</v>
      </c>
      <c r="CB203" s="775">
        <f t="shared" si="310"/>
        <v>31.5</v>
      </c>
      <c r="CC203" s="673">
        <f t="shared" si="230"/>
        <v>5.0335440384377907</v>
      </c>
      <c r="CD203" s="91">
        <f t="shared" si="228"/>
        <v>2</v>
      </c>
      <c r="CE203" s="775" t="b">
        <f t="shared" si="231"/>
        <v>0</v>
      </c>
      <c r="CF203" s="673"/>
      <c r="CG203" s="775">
        <f t="shared" si="232"/>
        <v>5.0335440384377907</v>
      </c>
      <c r="CH203" s="775">
        <f t="shared" si="233"/>
        <v>4.0886784258043242E-2</v>
      </c>
      <c r="CI203" s="775">
        <f t="shared" si="234"/>
        <v>2.7346696675994626E-3</v>
      </c>
      <c r="CJ203" s="775">
        <f t="shared" si="235"/>
        <v>5.2186067581640501</v>
      </c>
      <c r="CK203" s="775">
        <f t="shared" si="236"/>
        <v>2.5925280636235133</v>
      </c>
      <c r="CL203" s="775">
        <f t="shared" si="237"/>
        <v>4.44768741207261</v>
      </c>
      <c r="CM203" s="775">
        <f t="shared" si="238"/>
        <v>8.7458852977288295</v>
      </c>
      <c r="CN203" s="775">
        <f t="shared" si="239"/>
        <v>2.4417495476905384</v>
      </c>
      <c r="CO203" s="775">
        <f t="shared" si="240"/>
        <v>3.4754007643778153</v>
      </c>
      <c r="CP203" s="775">
        <f t="shared" si="241"/>
        <v>51.108480322554051</v>
      </c>
      <c r="CQ203" s="775">
        <f t="shared" si="242"/>
        <v>8.2850182447051477</v>
      </c>
      <c r="CR203" s="775">
        <f t="shared" si="298"/>
        <v>27.764472569805577</v>
      </c>
      <c r="CS203" s="775">
        <f t="shared" si="243"/>
        <v>12.620214804457079</v>
      </c>
      <c r="CT203" s="775">
        <f t="shared" si="244"/>
        <v>5.0335440384377907</v>
      </c>
      <c r="CU203" s="775">
        <f t="shared" si="245"/>
        <v>3.7223038169725275</v>
      </c>
      <c r="CV203" s="775"/>
      <c r="CW203" s="775"/>
      <c r="CX203" s="775"/>
      <c r="CY203" s="775"/>
      <c r="CZ203" s="775"/>
      <c r="DA203" s="775"/>
      <c r="DB203" s="775"/>
      <c r="DC203" s="775"/>
      <c r="DD203" s="775" t="b">
        <f t="shared" si="299"/>
        <v>0</v>
      </c>
      <c r="DE203" s="775">
        <f t="shared" si="300"/>
        <v>13.679604357426818</v>
      </c>
      <c r="DF203" s="776">
        <v>64</v>
      </c>
      <c r="DG203" s="775">
        <f t="shared" si="301"/>
        <v>18.5</v>
      </c>
      <c r="DH203" s="673">
        <f t="shared" si="302"/>
        <v>32.179604357426818</v>
      </c>
      <c r="DI203" s="673">
        <f t="shared" si="246"/>
        <v>19</v>
      </c>
      <c r="DJ203" s="775" t="b">
        <f t="shared" si="247"/>
        <v>1</v>
      </c>
      <c r="DK203" s="673"/>
      <c r="DL203" s="775">
        <f t="shared" si="303"/>
        <v>32.179604357426818</v>
      </c>
      <c r="DM203" s="775">
        <f t="shared" si="304"/>
        <v>0.10959018759828922</v>
      </c>
      <c r="DN203" s="775">
        <f t="shared" si="305"/>
        <v>1.2909782614753404E-2</v>
      </c>
      <c r="DO203" s="775">
        <f t="shared" si="248"/>
        <v>1.5387924625000728</v>
      </c>
      <c r="DP203" s="775">
        <f t="shared" si="249"/>
        <v>0.84624266812486681</v>
      </c>
      <c r="DQ203" s="775">
        <f t="shared" si="250"/>
        <v>33.022555850102663</v>
      </c>
      <c r="DR203" s="775">
        <f t="shared" si="251"/>
        <v>56.366863393747941</v>
      </c>
      <c r="DS203" s="775">
        <f t="shared" si="252"/>
        <v>26.658610147174358</v>
      </c>
      <c r="DT203" s="775">
        <f t="shared" si="253"/>
        <v>41.176916527826286</v>
      </c>
      <c r="DU203" s="775">
        <f t="shared" si="254"/>
        <v>153.86462338799805</v>
      </c>
      <c r="DV203" s="775">
        <f t="shared" si="255"/>
        <v>6.2655587603708618</v>
      </c>
      <c r="DW203" s="775">
        <f t="shared" si="256"/>
        <v>10.358591630129862</v>
      </c>
      <c r="DX203" s="775">
        <f t="shared" si="257"/>
        <v>4.7084507409681189</v>
      </c>
      <c r="DY203" s="775">
        <f t="shared" si="258"/>
        <v>32.179604357426818</v>
      </c>
      <c r="DZ203" s="775">
        <f t="shared" si="259"/>
        <v>37.294621024642268</v>
      </c>
      <c r="EA203" s="775"/>
      <c r="EB203" s="775"/>
      <c r="EC203" s="775"/>
      <c r="ED203" s="775"/>
      <c r="EE203" s="775"/>
      <c r="EF203" s="775" t="b">
        <f t="shared" si="306"/>
        <v>0</v>
      </c>
      <c r="EG203" s="775">
        <f t="shared" si="260"/>
        <v>26.466455961562211</v>
      </c>
      <c r="EH203" s="775">
        <v>63</v>
      </c>
      <c r="EI203" s="775">
        <f t="shared" si="311"/>
        <v>31.5</v>
      </c>
      <c r="EJ203" s="673">
        <f t="shared" si="261"/>
        <v>5.0335440384377907</v>
      </c>
      <c r="EK203" s="673">
        <f t="shared" si="262"/>
        <v>2.2510196371999172</v>
      </c>
      <c r="EL203" s="775" t="b">
        <f t="shared" si="263"/>
        <v>0</v>
      </c>
      <c r="EM203" s="673"/>
      <c r="EN203" s="775">
        <f t="shared" si="264"/>
        <v>5.0335440384377907</v>
      </c>
      <c r="EO203" s="775">
        <f t="shared" si="265"/>
        <v>4.0886784258043242E-2</v>
      </c>
      <c r="EP203" s="775">
        <f t="shared" si="266"/>
        <v>2.7346696675994626E-3</v>
      </c>
      <c r="EQ203" s="775">
        <f t="shared" si="267"/>
        <v>5.2186067581640501</v>
      </c>
      <c r="ER203" s="775">
        <f t="shared" si="268"/>
        <v>2.5925280636235133</v>
      </c>
      <c r="ES203" s="775">
        <f t="shared" si="269"/>
        <v>4.44768741207261</v>
      </c>
      <c r="ET203" s="775">
        <f t="shared" si="270"/>
        <v>8.7458852977288295</v>
      </c>
      <c r="EU203" s="775">
        <f t="shared" si="271"/>
        <v>2.4417495476905384</v>
      </c>
      <c r="EV203" s="775">
        <f t="shared" si="272"/>
        <v>3.4754007643778153</v>
      </c>
      <c r="EW203" s="775">
        <f t="shared" si="273"/>
        <v>51.108480322554051</v>
      </c>
      <c r="EX203" s="775">
        <f t="shared" si="274"/>
        <v>8.2850182447051477</v>
      </c>
      <c r="EY203" s="775">
        <f t="shared" si="307"/>
        <v>27.764472569805577</v>
      </c>
      <c r="EZ203" s="775">
        <f t="shared" si="275"/>
        <v>12.620214804457079</v>
      </c>
      <c r="FA203" s="775">
        <f t="shared" si="276"/>
        <v>5.0335440384377907</v>
      </c>
      <c r="FB203" s="775">
        <f t="shared" si="277"/>
        <v>3.7223038169725275</v>
      </c>
      <c r="FC203" s="775"/>
      <c r="FD203" s="775"/>
      <c r="FE203" s="775"/>
      <c r="FF203" s="775"/>
      <c r="FG203" s="775"/>
      <c r="FH203" s="775"/>
      <c r="FI203" s="775"/>
      <c r="FJ203" s="775"/>
      <c r="FK203" s="775" t="b">
        <f t="shared" si="308"/>
        <v>0</v>
      </c>
      <c r="FL203" s="775">
        <f t="shared" si="278"/>
        <v>18.794621024642268</v>
      </c>
      <c r="FM203" s="775">
        <v>63</v>
      </c>
      <c r="FN203" s="775">
        <f t="shared" si="309"/>
        <v>18.5</v>
      </c>
      <c r="FO203" s="673">
        <f t="shared" si="312"/>
        <v>37.294621024642268</v>
      </c>
      <c r="FP203" s="673">
        <f t="shared" si="280"/>
        <v>24.403675819467587</v>
      </c>
      <c r="FQ203" s="775" t="b">
        <f t="shared" si="281"/>
        <v>1</v>
      </c>
      <c r="FR203" s="673"/>
      <c r="FS203" s="775">
        <f t="shared" si="282"/>
        <v>37.294621024642268</v>
      </c>
      <c r="FT203" s="775">
        <f t="shared" si="283"/>
        <v>0.10959018759828922</v>
      </c>
      <c r="FU203" s="775">
        <f t="shared" si="284"/>
        <v>1.2909782614753404E-2</v>
      </c>
      <c r="FV203" s="775">
        <f t="shared" si="285"/>
        <v>1.5387924625000728</v>
      </c>
      <c r="FW203" s="775">
        <f t="shared" si="286"/>
        <v>0.84624266812486681</v>
      </c>
      <c r="FX203" s="775">
        <f t="shared" si="287"/>
        <v>42.414302510324639</v>
      </c>
      <c r="FY203" s="775">
        <f t="shared" si="288"/>
        <v>72.397824274802076</v>
      </c>
      <c r="FZ203" s="775">
        <f t="shared" si="289"/>
        <v>26.658610147174358</v>
      </c>
      <c r="GA203" s="775">
        <f t="shared" si="290"/>
        <v>41.176916527826286</v>
      </c>
      <c r="GB203" s="775">
        <f t="shared" si="291"/>
        <v>153.86462338799805</v>
      </c>
      <c r="GC203" s="775">
        <f t="shared" si="292"/>
        <v>6.2655587603708618</v>
      </c>
      <c r="GD203" s="775">
        <f t="shared" si="293"/>
        <v>3.7735769744540919</v>
      </c>
      <c r="GE203" s="775">
        <f t="shared" si="294"/>
        <v>1.7152622611154962</v>
      </c>
      <c r="GF203" s="775">
        <f t="shared" si="295"/>
        <v>38.004141103717906</v>
      </c>
      <c r="GG203" s="775">
        <f t="shared" si="296"/>
        <v>37.294621024642268</v>
      </c>
    </row>
    <row r="204" spans="70:189">
      <c r="BR204" s="775"/>
      <c r="BS204" s="775"/>
      <c r="BT204" s="775"/>
      <c r="BU204" s="775"/>
      <c r="BV204" s="775"/>
      <c r="BW204" s="775"/>
      <c r="BX204" s="775"/>
      <c r="BY204" s="775" t="b">
        <f t="shared" si="297"/>
        <v>0</v>
      </c>
      <c r="BZ204" s="775">
        <f t="shared" si="229"/>
        <v>26.943589361912142</v>
      </c>
      <c r="CA204" s="775">
        <v>64</v>
      </c>
      <c r="CB204" s="775">
        <f t="shared" si="310"/>
        <v>32</v>
      </c>
      <c r="CC204" s="673">
        <f t="shared" si="230"/>
        <v>5.0564106380878586</v>
      </c>
      <c r="CD204" s="91">
        <f t="shared" si="228"/>
        <v>2</v>
      </c>
      <c r="CE204" s="775" t="b">
        <f t="shared" si="231"/>
        <v>0</v>
      </c>
      <c r="CF204" s="673"/>
      <c r="CG204" s="775">
        <f t="shared" si="232"/>
        <v>5.0564106380878586</v>
      </c>
      <c r="CH204" s="775">
        <f t="shared" si="233"/>
        <v>4.0260607025432132E-2</v>
      </c>
      <c r="CI204" s="775">
        <f t="shared" si="234"/>
        <v>2.6927884603674189E-3</v>
      </c>
      <c r="CJ204" s="775">
        <f t="shared" si="235"/>
        <v>5.2240184933294334</v>
      </c>
      <c r="CK204" s="775">
        <f t="shared" si="236"/>
        <v>2.5938391987247726</v>
      </c>
      <c r="CL204" s="775">
        <f t="shared" si="237"/>
        <v>4.4648812841254282</v>
      </c>
      <c r="CM204" s="775">
        <f t="shared" si="238"/>
        <v>8.7796951451541663</v>
      </c>
      <c r="CN204" s="775">
        <f t="shared" si="239"/>
        <v>2.4467460352239909</v>
      </c>
      <c r="CO204" s="775">
        <f t="shared" si="240"/>
        <v>3.4823217007097576</v>
      </c>
      <c r="CP204" s="775">
        <f t="shared" si="241"/>
        <v>50.325758781790164</v>
      </c>
      <c r="CQ204" s="775">
        <f t="shared" si="242"/>
        <v>8.1581339741335039</v>
      </c>
      <c r="CR204" s="775">
        <f t="shared" si="298"/>
        <v>28.196296178120416</v>
      </c>
      <c r="CS204" s="775">
        <f t="shared" si="243"/>
        <v>12.816498262782007</v>
      </c>
      <c r="CT204" s="775">
        <f t="shared" si="244"/>
        <v>5.0564106380878586</v>
      </c>
      <c r="CU204" s="775">
        <f t="shared" si="245"/>
        <v>3.7317654384878662</v>
      </c>
      <c r="CV204" s="775"/>
      <c r="CW204" s="775"/>
      <c r="CX204" s="775"/>
      <c r="CY204" s="775"/>
      <c r="CZ204" s="775"/>
      <c r="DA204" s="775"/>
      <c r="DB204" s="775"/>
      <c r="DC204" s="775"/>
      <c r="DD204" s="775" t="b">
        <f t="shared" si="299"/>
        <v>0</v>
      </c>
      <c r="DE204" s="775">
        <f t="shared" si="300"/>
        <v>14.048219620512775</v>
      </c>
      <c r="DF204" s="776">
        <v>65</v>
      </c>
      <c r="DG204" s="775">
        <f t="shared" si="301"/>
        <v>18</v>
      </c>
      <c r="DH204" s="673">
        <f t="shared" si="302"/>
        <v>32.048219620512775</v>
      </c>
      <c r="DI204" s="673">
        <f t="shared" si="246"/>
        <v>19</v>
      </c>
      <c r="DJ204" s="775" t="b">
        <f t="shared" si="247"/>
        <v>1</v>
      </c>
      <c r="DK204" s="673"/>
      <c r="DL204" s="775">
        <f t="shared" si="303"/>
        <v>32.048219620512775</v>
      </c>
      <c r="DM204" s="775">
        <f t="shared" si="304"/>
        <v>0.11219391545619627</v>
      </c>
      <c r="DN204" s="775">
        <f t="shared" si="305"/>
        <v>1.3216503146675208E-2</v>
      </c>
      <c r="DO204" s="775">
        <f t="shared" si="248"/>
        <v>1.5305294841168784</v>
      </c>
      <c r="DP204" s="775">
        <f t="shared" si="249"/>
        <v>0.84373932329309087</v>
      </c>
      <c r="DQ204" s="775">
        <f t="shared" si="250"/>
        <v>32.829273705195405</v>
      </c>
      <c r="DR204" s="775">
        <f t="shared" si="251"/>
        <v>56.036946221137455</v>
      </c>
      <c r="DS204" s="775">
        <f t="shared" si="252"/>
        <v>26.52688104282322</v>
      </c>
      <c r="DT204" s="775">
        <f t="shared" si="253"/>
        <v>40.98840706509602</v>
      </c>
      <c r="DU204" s="775">
        <f t="shared" si="254"/>
        <v>157.52025730049957</v>
      </c>
      <c r="DV204" s="775">
        <f t="shared" si="255"/>
        <v>6.4144207182455091</v>
      </c>
      <c r="DW204" s="775">
        <f t="shared" si="256"/>
        <v>10.118195762970895</v>
      </c>
      <c r="DX204" s="775">
        <f t="shared" si="257"/>
        <v>4.5991798922594977</v>
      </c>
      <c r="DY204" s="775">
        <f t="shared" si="258"/>
        <v>32.048219620512775</v>
      </c>
      <c r="DZ204" s="775">
        <f t="shared" si="259"/>
        <v>37.185101225871179</v>
      </c>
      <c r="EA204" s="775"/>
      <c r="EB204" s="775"/>
      <c r="EC204" s="775"/>
      <c r="ED204" s="775"/>
      <c r="EE204" s="775"/>
      <c r="EF204" s="775" t="b">
        <f t="shared" si="306"/>
        <v>0</v>
      </c>
      <c r="EG204" s="775">
        <f t="shared" si="260"/>
        <v>26.943589361912142</v>
      </c>
      <c r="EH204" s="775">
        <v>64</v>
      </c>
      <c r="EI204" s="775">
        <f t="shared" si="311"/>
        <v>32</v>
      </c>
      <c r="EJ204" s="673">
        <f t="shared" si="261"/>
        <v>5.0564106380878586</v>
      </c>
      <c r="EK204" s="673">
        <f t="shared" si="262"/>
        <v>2.2510196371999172</v>
      </c>
      <c r="EL204" s="775" t="b">
        <f t="shared" si="263"/>
        <v>0</v>
      </c>
      <c r="EM204" s="673"/>
      <c r="EN204" s="775">
        <f t="shared" si="264"/>
        <v>5.0564106380878586</v>
      </c>
      <c r="EO204" s="775">
        <f t="shared" si="265"/>
        <v>4.0260607025432132E-2</v>
      </c>
      <c r="EP204" s="775">
        <f t="shared" si="266"/>
        <v>2.6927884603674189E-3</v>
      </c>
      <c r="EQ204" s="775">
        <f t="shared" si="267"/>
        <v>5.2240184933294334</v>
      </c>
      <c r="ER204" s="775">
        <f t="shared" si="268"/>
        <v>2.5938391987247726</v>
      </c>
      <c r="ES204" s="775">
        <f t="shared" si="269"/>
        <v>4.4648812841254282</v>
      </c>
      <c r="ET204" s="775">
        <f t="shared" si="270"/>
        <v>8.7796951451541663</v>
      </c>
      <c r="EU204" s="775">
        <f t="shared" si="271"/>
        <v>2.4467460352239909</v>
      </c>
      <c r="EV204" s="775">
        <f t="shared" si="272"/>
        <v>3.4823217007097576</v>
      </c>
      <c r="EW204" s="775">
        <f t="shared" si="273"/>
        <v>50.325758781790164</v>
      </c>
      <c r="EX204" s="775">
        <f t="shared" si="274"/>
        <v>8.1581339741335039</v>
      </c>
      <c r="EY204" s="775">
        <f t="shared" si="307"/>
        <v>28.196296178120416</v>
      </c>
      <c r="EZ204" s="775">
        <f t="shared" si="275"/>
        <v>12.816498262782007</v>
      </c>
      <c r="FA204" s="775">
        <f t="shared" si="276"/>
        <v>5.0564106380878586</v>
      </c>
      <c r="FB204" s="775">
        <f t="shared" si="277"/>
        <v>3.7317654384878662</v>
      </c>
      <c r="FC204" s="775"/>
      <c r="FD204" s="775"/>
      <c r="FE204" s="775"/>
      <c r="FF204" s="775"/>
      <c r="FG204" s="775"/>
      <c r="FH204" s="775"/>
      <c r="FI204" s="775"/>
      <c r="FJ204" s="775"/>
      <c r="FK204" s="775" t="b">
        <f t="shared" si="308"/>
        <v>0</v>
      </c>
      <c r="FL204" s="775">
        <f t="shared" si="278"/>
        <v>19.185101225871179</v>
      </c>
      <c r="FM204" s="775">
        <v>64</v>
      </c>
      <c r="FN204" s="775">
        <f t="shared" si="309"/>
        <v>18</v>
      </c>
      <c r="FO204" s="673">
        <f t="shared" si="312"/>
        <v>37.185101225871179</v>
      </c>
      <c r="FP204" s="673">
        <f t="shared" si="280"/>
        <v>24.403675819467587</v>
      </c>
      <c r="FQ204" s="775" t="b">
        <f t="shared" si="281"/>
        <v>1</v>
      </c>
      <c r="FR204" s="673"/>
      <c r="FS204" s="775">
        <f t="shared" si="282"/>
        <v>37.185101225871179</v>
      </c>
      <c r="FT204" s="775">
        <f t="shared" si="283"/>
        <v>0.11219391545619627</v>
      </c>
      <c r="FU204" s="775">
        <f t="shared" si="284"/>
        <v>1.3216503146675208E-2</v>
      </c>
      <c r="FV204" s="775">
        <f t="shared" si="285"/>
        <v>1.5305294841168784</v>
      </c>
      <c r="FW204" s="775">
        <f t="shared" si="286"/>
        <v>0.84373932329309087</v>
      </c>
      <c r="FX204" s="775">
        <f t="shared" si="287"/>
        <v>42.166050152113691</v>
      </c>
      <c r="FY204" s="775">
        <f t="shared" si="288"/>
        <v>71.974077341767241</v>
      </c>
      <c r="FZ204" s="775">
        <f t="shared" si="289"/>
        <v>26.52688104282322</v>
      </c>
      <c r="GA204" s="775">
        <f t="shared" si="290"/>
        <v>40.98840706509602</v>
      </c>
      <c r="GB204" s="775">
        <f t="shared" si="291"/>
        <v>157.52025730049957</v>
      </c>
      <c r="GC204" s="775">
        <f t="shared" si="292"/>
        <v>6.4144207182455091</v>
      </c>
      <c r="GD204" s="775">
        <f t="shared" si="293"/>
        <v>3.6860021050648615</v>
      </c>
      <c r="GE204" s="775">
        <f t="shared" si="294"/>
        <v>1.6754555023022095</v>
      </c>
      <c r="GF204" s="775">
        <f t="shared" si="295"/>
        <v>37.863083083242309</v>
      </c>
      <c r="GG204" s="775">
        <f t="shared" si="296"/>
        <v>37.185101225871179</v>
      </c>
    </row>
    <row r="205" spans="70:189">
      <c r="BR205" s="775"/>
      <c r="BS205" s="775"/>
      <c r="BT205" s="775"/>
      <c r="BU205" s="775"/>
      <c r="BV205" s="775"/>
      <c r="BW205" s="775"/>
      <c r="BX205" s="775"/>
      <c r="BY205" s="775" t="b">
        <f t="shared" si="297"/>
        <v>0</v>
      </c>
      <c r="BZ205" s="775">
        <f t="shared" ref="BZ205:BZ240" si="313">ABS((CC205-CB205))</f>
        <v>27.421001763108542</v>
      </c>
      <c r="CA205" s="775">
        <v>65</v>
      </c>
      <c r="CB205" s="775">
        <f t="shared" si="310"/>
        <v>32.5</v>
      </c>
      <c r="CC205" s="673">
        <f t="shared" ref="CC205:CC240" si="314">CG205</f>
        <v>5.0789982368914579</v>
      </c>
      <c r="CD205" s="91">
        <f t="shared" ref="CD205:CD240" si="315">$X$7</f>
        <v>2</v>
      </c>
      <c r="CE205" s="775" t="b">
        <f t="shared" ref="CE205:CE240" si="316">IF(CB205&lt;CD205,TRUE,FALSE)</f>
        <v>0</v>
      </c>
      <c r="CF205" s="673"/>
      <c r="CG205" s="775">
        <f t="shared" ref="CG205:CG240" si="317">((100*(-0.0126+0.01475*($X$7*((1/CH205)^0.25))))/(1+(-0.0126+0.01475*($X$7*((1/CH205)^0.25)))))</f>
        <v>5.0789982368914579</v>
      </c>
      <c r="CH205" s="775">
        <f t="shared" ref="CH205:CH240" si="318">CI205*(2.65*($W$7/0.03)^0.5-1.35)</f>
        <v>3.9653507072420435E-2</v>
      </c>
      <c r="CI205" s="775">
        <f t="shared" ref="CI205:CI240" si="319">((0.03/(2.2*(10^($AS$10+($AT$10*(LOG((0.03*($AB$7+$AC$7))/CB205))))))))</f>
        <v>2.6521832169659264E-3</v>
      </c>
      <c r="CJ205" s="775">
        <f t="shared" ref="CJ205:CJ240" si="320">($W$7/(2.2*((0.976*CI205+0.022)^0.625)))</f>
        <v>5.2292793068792989</v>
      </c>
      <c r="CK205" s="775">
        <f t="shared" ref="CK205:CK240" si="321">($W$7/(2.2*((0.956*CI205+0.037)^0.5)))</f>
        <v>2.5951122895949599</v>
      </c>
      <c r="CL205" s="775">
        <f t="shared" ref="CL205:CL240" si="322">$X$7*((1/CH205)^0.25)</f>
        <v>4.4818735026945271</v>
      </c>
      <c r="CM205" s="775">
        <f t="shared" ref="CM205:CM240" si="323">$X$7*((1/CI205)^0.25)</f>
        <v>8.8131084633104493</v>
      </c>
      <c r="CN205" s="775">
        <f t="shared" ref="CN205:CN240" si="324">IF($R$30&lt;=40,$AF$7/(CH205^0.25)/SQRT((($AV$10+($AE$7/(CH205^0.25))))),IF($R$30&gt;40,$AF$7/(CH205^0.25)/SQRT((($AW$10+($AE$7/(CH205^0.25))))),""))</f>
        <v>2.4516740445168947</v>
      </c>
      <c r="CO205" s="775">
        <f t="shared" ref="CO205:CO240" si="325">IF($R$30&lt;=40,$AF$7/(CI205^0.25)/SQRT((($AV$10+($AE$7/(CI205^0.25))))),IF($R$30&gt;40,$AF$7/(CI205^0.25)/SQRT((($AW$10+($AE$7/(CI205^0.25))))),""))</f>
        <v>3.4891480284977536</v>
      </c>
      <c r="CP205" s="775">
        <f t="shared" ref="CP205:CP240" si="326">CH205*($AB$7+$AC$7)</f>
        <v>49.566883840525541</v>
      </c>
      <c r="CQ205" s="775">
        <f t="shared" ref="CQ205:CQ240" si="327">CP205/$AQ$101</f>
        <v>8.0351153929871497</v>
      </c>
      <c r="CR205" s="775">
        <f t="shared" si="298"/>
        <v>28.627984857095964</v>
      </c>
      <c r="CS205" s="775">
        <f t="shared" ref="CS205:CS240" si="328">CR205/2.2</f>
        <v>13.012720389589074</v>
      </c>
      <c r="CT205" s="775">
        <f t="shared" ref="CT205:CT240" si="329">((100*(-0.0126+0.01475*($X$7*((1/CH205)^0.25))))/(1+(-0.0126+0.01475*($X$7*((1/CH205)^0.25)))))</f>
        <v>5.0789982368914579</v>
      </c>
      <c r="CU205" s="775">
        <f t="shared" ref="CU205:CU240" si="330">((100*(-0.0126+0.01475*CO205)/(1+(-0.0126+0.01475*CO205))))</f>
        <v>3.7410958990004208</v>
      </c>
      <c r="CV205" s="775"/>
      <c r="CW205" s="775"/>
      <c r="CX205" s="775"/>
      <c r="CY205" s="775"/>
      <c r="CZ205" s="775"/>
      <c r="DA205" s="775"/>
      <c r="DB205" s="775"/>
      <c r="DC205" s="775"/>
      <c r="DD205" s="775" t="b">
        <f t="shared" si="299"/>
        <v>0</v>
      </c>
      <c r="DE205" s="775">
        <f t="shared" ref="DE205:DE240" si="331">ABS((DH205-DG205))</f>
        <v>14.413408111029817</v>
      </c>
      <c r="DF205" s="776">
        <v>66</v>
      </c>
      <c r="DG205" s="775">
        <f t="shared" si="301"/>
        <v>17.5</v>
      </c>
      <c r="DH205" s="673">
        <f t="shared" ref="DH205:DH240" si="332">DL205</f>
        <v>31.913408111029817</v>
      </c>
      <c r="DI205" s="673">
        <f t="shared" ref="DI205:DI240" si="333">$DG$133</f>
        <v>19</v>
      </c>
      <c r="DJ205" s="775" t="b">
        <f t="shared" ref="DJ205:DJ240" si="334">IF(DG205&lt;DI205,TRUE,FALSE)</f>
        <v>1</v>
      </c>
      <c r="DK205" s="673"/>
      <c r="DL205" s="775">
        <f t="shared" ref="DL205:DL240" si="335">((100*(-0.0126+0.01475*($DG$133*((1/DM205)^0.25))))/(1+(-0.0126+0.01475*($DG$133*((1/DM205)^0.25)))))</f>
        <v>31.913408111029817</v>
      </c>
      <c r="DM205" s="775">
        <f t="shared" ref="DM205:DM240" si="336">DN205*(2.65*($DN$133/0.03)^0.5-1.35)</f>
        <v>0.11493551175572511</v>
      </c>
      <c r="DN205" s="775">
        <f t="shared" ref="DN205:DN240" si="337">((0.03/(2.2*(10^($AS$11+($AT$11*(LOG((0.03*($AB$8+$AC$8))/DG205))))))))</f>
        <v>1.3539464654634906E-2</v>
      </c>
      <c r="DO205" s="775">
        <f t="shared" ref="DO205:DO240" si="338">($DN$133/(2.2*((0.976*DN205+0.022)^0.625)))</f>
        <v>1.5219525545902026</v>
      </c>
      <c r="DP205" s="775">
        <f t="shared" ref="DP205:DP240" si="339">($DN$133/(2.2*((0.956*DN205+0.037)^0.5)))</f>
        <v>0.84112728972405382</v>
      </c>
      <c r="DQ205" s="775">
        <f t="shared" ref="DQ205:DQ240" si="340">$DG$133*((1/DM205)^0.25)</f>
        <v>32.631725760632882</v>
      </c>
      <c r="DR205" s="775">
        <f t="shared" ref="DR205:DR240" si="341">$DG$133*((1/DN205)^0.25)</f>
        <v>55.699747669474277</v>
      </c>
      <c r="DS205" s="775">
        <f t="shared" ref="DS205:DS240" si="342">IF($R$50&lt;=40,$AF$8/(DM205^0.25)/SQRT((($AV$11+($AE$8/(DM205^0.25))))),IF($R$50&gt;40,$AF$8/(DM205^0.25)/SQRT((($AW$11+($AE$8/(DM205^0.25))))),""))</f>
        <v>26.392017713099268</v>
      </c>
      <c r="DT205" s="775">
        <f t="shared" ref="DT205:DT240" si="343">IF($R$50&lt;=40,$AF$8/(DN205^0.25)/SQRT((($AV$11+($AE$8/(DN205^0.25))))),IF($R$50&gt;40,$AF$8/(DN205^0.25)/SQRT((($AW$11+($AE$8/(DN205^0.25))))),""))</f>
        <v>40.795306349011817</v>
      </c>
      <c r="DU205" s="775">
        <f t="shared" ref="DU205:DU240" si="344">DM205*($AB$8+$AC$8)</f>
        <v>161.36945850503807</v>
      </c>
      <c r="DV205" s="775">
        <f t="shared" ref="DV205:DV240" si="345">DU205/$AR$101</f>
        <v>6.5711649769092428</v>
      </c>
      <c r="DW205" s="775">
        <f t="shared" ref="DW205:DW240" si="346">$DN$14/DM205</f>
        <v>9.8768429587947075</v>
      </c>
      <c r="DX205" s="775">
        <f t="shared" ref="DX205:DX240" si="347">DW205/2.2</f>
        <v>4.4894740721794122</v>
      </c>
      <c r="DY205" s="775">
        <f t="shared" ref="DY205:DY240" si="348">((100*(-0.0126+0.01475*($DG$133*((1/DM205)^0.25))))/(1+(-0.0126+0.01475*($DG$133*((1/DM205)^0.25)))))</f>
        <v>31.913408111029817</v>
      </c>
      <c r="DZ205" s="775">
        <f t="shared" ref="DZ205:DZ240" si="349">((100*(-0.0126+0.01475*DT205)/(1+(-0.0126+0.01475*DT205))))</f>
        <v>37.072516640601755</v>
      </c>
      <c r="EA205" s="775"/>
      <c r="EB205" s="775"/>
      <c r="EC205" s="775"/>
      <c r="ED205" s="775"/>
      <c r="EE205" s="775"/>
      <c r="EF205" s="775" t="b">
        <f t="shared" si="306"/>
        <v>0</v>
      </c>
      <c r="EG205" s="775">
        <f t="shared" ref="EG205:EG240" si="350">ABS((EJ205-EI205))</f>
        <v>27.421001763108542</v>
      </c>
      <c r="EH205" s="775">
        <v>65</v>
      </c>
      <c r="EI205" s="775">
        <f t="shared" si="311"/>
        <v>32.5</v>
      </c>
      <c r="EJ205" s="673">
        <f t="shared" ref="EJ205:EJ240" si="351">EN205</f>
        <v>5.0789982368914579</v>
      </c>
      <c r="EK205" s="673">
        <f t="shared" ref="EK205:EK240" si="352">$Z$7</f>
        <v>2.2510196371999172</v>
      </c>
      <c r="EL205" s="775" t="b">
        <f t="shared" ref="EL205:EL240" si="353">IF(EI205&lt;EK205,TRUE,FALSE)</f>
        <v>0</v>
      </c>
      <c r="EM205" s="673"/>
      <c r="EN205" s="775">
        <f t="shared" ref="EN205:EN240" si="354">((100*(-0.0126+0.01475*($X$7*((1/EO205)^0.25))))/(1+(-0.0126+0.01475*($X$7*((1/EO205)^0.25)))))</f>
        <v>5.0789982368914579</v>
      </c>
      <c r="EO205" s="775">
        <f t="shared" ref="EO205:EO240" si="355">EP205*(2.65*($W$7/0.03)^0.5-1.35)</f>
        <v>3.9653507072420435E-2</v>
      </c>
      <c r="EP205" s="775">
        <f t="shared" ref="EP205:EP240" si="356">((0.03/(2.2*(10^($AS$10+($AT$10*(LOG((0.03*($AB$7+$AC$7))/EI205))))))))</f>
        <v>2.6521832169659264E-3</v>
      </c>
      <c r="EQ205" s="775">
        <f t="shared" ref="EQ205:EQ240" si="357">($W$7/(2.2*((0.976*EP205+0.022)^0.625)))</f>
        <v>5.2292793068792989</v>
      </c>
      <c r="ER205" s="775">
        <f t="shared" ref="ER205:ER240" si="358">($W$7/(2.2*((0.956*EP205+0.037)^0.5)))</f>
        <v>2.5951122895949599</v>
      </c>
      <c r="ES205" s="775">
        <f t="shared" ref="ES205:ES240" si="359">$X$7*((1/EO205)^0.25)</f>
        <v>4.4818735026945271</v>
      </c>
      <c r="ET205" s="775">
        <f t="shared" ref="ET205:ET240" si="360">$X$7*((1/EP205)^0.25)</f>
        <v>8.8131084633104493</v>
      </c>
      <c r="EU205" s="775">
        <f t="shared" ref="EU205:EU240" si="361">IF($R$30&lt;=40,$AF$7/(EO205^0.25)/SQRT((($AV$10+($AE$7/(EO205^0.25))))),IF($R$30&gt;40,$AF$7/(EO205^0.25)/SQRT((($AW$10+($AE$7/(EO205^0.25))))),""))</f>
        <v>2.4516740445168947</v>
      </c>
      <c r="EV205" s="775">
        <f t="shared" ref="EV205:EV240" si="362">IF($R$30&lt;=40,$AF$7/(EP205^0.25)/SQRT((($AV$10+($AE$7/(EP205^0.25))))),IF($R$30&gt;40,$AF$7/(EP205^0.25)/SQRT((($AW$10+($AE$7/(EP205^0.25))))),""))</f>
        <v>3.4891480284977536</v>
      </c>
      <c r="EW205" s="775">
        <f t="shared" ref="EW205:EW240" si="363">EO205*($AB$7+$AC$7)</f>
        <v>49.566883840525541</v>
      </c>
      <c r="EX205" s="775">
        <f t="shared" ref="EX205:EX240" si="364">EW205/$AQ$101</f>
        <v>8.0351153929871497</v>
      </c>
      <c r="EY205" s="775">
        <f t="shared" si="307"/>
        <v>28.627984857095964</v>
      </c>
      <c r="EZ205" s="775">
        <f t="shared" ref="EZ205:EZ240" si="365">EY205/2.2</f>
        <v>13.012720389589074</v>
      </c>
      <c r="FA205" s="775">
        <f t="shared" ref="FA205:FA240" si="366">((100*(-0.0126+0.01475*($X$7*((1/EO205)^0.25))))/(1+(-0.0126+0.01475*($X$7*((1/EO205)^0.25)))))</f>
        <v>5.0789982368914579</v>
      </c>
      <c r="FB205" s="775">
        <f t="shared" ref="FB205:FB240" si="367">((100*(-0.0126+0.01475*EV205)/(1+(-0.0126+0.01475*EV205))))</f>
        <v>3.7410958990004208</v>
      </c>
      <c r="FC205" s="775"/>
      <c r="FD205" s="775"/>
      <c r="FE205" s="775"/>
      <c r="FF205" s="775"/>
      <c r="FG205" s="775"/>
      <c r="FH205" s="775"/>
      <c r="FI205" s="775"/>
      <c r="FJ205" s="775"/>
      <c r="FK205" s="775" t="b">
        <f t="shared" si="308"/>
        <v>0</v>
      </c>
      <c r="FL205" s="775">
        <f t="shared" ref="FL205:FL240" si="368">ABS((FO205-FN205))</f>
        <v>19.572516640601755</v>
      </c>
      <c r="FM205" s="775">
        <v>65</v>
      </c>
      <c r="FN205" s="775">
        <f t="shared" si="309"/>
        <v>17.5</v>
      </c>
      <c r="FO205" s="673">
        <f t="shared" si="312"/>
        <v>37.072516640601755</v>
      </c>
      <c r="FP205" s="673">
        <f t="shared" ref="FP205:FP240" si="369">$DQ$133</f>
        <v>24.403675819467587</v>
      </c>
      <c r="FQ205" s="775" t="b">
        <f t="shared" ref="FQ205:FQ240" si="370">IF(FN205&lt;FP205,TRUE,FALSE)</f>
        <v>1</v>
      </c>
      <c r="FR205" s="673"/>
      <c r="FS205" s="775">
        <f t="shared" ref="FS205:FS240" si="371">GG205</f>
        <v>37.072516640601755</v>
      </c>
      <c r="FT205" s="775">
        <f t="shared" ref="FT205:FT240" si="372">FU205*(2.65*($DN$133/0.03)^0.5-1.35)</f>
        <v>0.11493551175572511</v>
      </c>
      <c r="FU205" s="775">
        <f t="shared" ref="FU205:FU240" si="373">((0.03/(2.2*(10^($AS$11+($AT$11*(LOG((0.03*($AB$8+$AC$8))/FN205))))))))</f>
        <v>1.3539464654634906E-2</v>
      </c>
      <c r="FV205" s="775">
        <f t="shared" ref="FV205:FV240" si="374">($DN$133/(2.2*((0.976*FU205+0.022)^0.625)))</f>
        <v>1.5219525545902026</v>
      </c>
      <c r="FW205" s="775">
        <f t="shared" ref="FW205:FW240" si="375">($DN$133/(2.2*((0.956*FU205+0.037)^0.5)))</f>
        <v>0.84112728972405382</v>
      </c>
      <c r="FX205" s="775">
        <f t="shared" ref="FX205:FX240" si="376">$DQ$133*((1/FT205)^0.25)</f>
        <v>41.91231878380286</v>
      </c>
      <c r="FY205" s="775">
        <f t="shared" ref="FY205:FY240" si="377">$DQ$133*((1/FU205)^0.25)</f>
        <v>71.540978176420822</v>
      </c>
      <c r="FZ205" s="775">
        <f t="shared" ref="FZ205:FZ240" si="378">IF($R$50&lt;=40,$AF$8/(FT205^0.25)/SQRT((($AV$11+($AE$8/(FT205^0.25))))),IF($R$50&gt;40,$AF$8/(FT205^0.25)/SQRT((($AW$11+($AE$8/(FT205^0.25))))),""))</f>
        <v>26.392017713099268</v>
      </c>
      <c r="GA205" s="775">
        <f t="shared" ref="GA205:GA240" si="379">IF($R$50&lt;=40,$AF$8/(FU205^0.25)/SQRT((($AV$11+($AE$8/(FU205^0.25))))),IF($R$50&gt;40,$AF$8/(FU205^0.25)/SQRT((($AW$11+($AE$8/(FU205^0.25))))),""))</f>
        <v>40.795306349011817</v>
      </c>
      <c r="GB205" s="775">
        <f t="shared" ref="GB205:GB240" si="380">FT205*($AB$8+$AC$8)</f>
        <v>161.36945850503807</v>
      </c>
      <c r="GC205" s="775">
        <f t="shared" ref="GC205:GC240" si="381">GB205/$AR$101</f>
        <v>6.5711649769092428</v>
      </c>
      <c r="GD205" s="775">
        <f t="shared" ref="GD205:GD240" si="382">$DN$133/FT205</f>
        <v>3.5980786288743274</v>
      </c>
      <c r="GE205" s="775">
        <f t="shared" ref="GE205:GE240" si="383">GD205/2.2</f>
        <v>1.6354902858519669</v>
      </c>
      <c r="GF205" s="775">
        <f t="shared" ref="GF205:GF240" si="384">((100*(-0.0126+0.01475*($DQ$133*((1/FT205)^0.25))))/(1+(-0.0126+0.01475*($DQ$133*((1/FT205)^0.25)))))</f>
        <v>37.718247020499128</v>
      </c>
      <c r="GG205" s="775">
        <f t="shared" ref="GG205:GG240" si="385">((100*(-0.0126+0.01475*GA205)/(1+(-0.0126+0.01475*GA205))))</f>
        <v>37.072516640601755</v>
      </c>
    </row>
    <row r="206" spans="70:189">
      <c r="BR206" s="775"/>
      <c r="BS206" s="775"/>
      <c r="BT206" s="775"/>
      <c r="BU206" s="775"/>
      <c r="BV206" s="775"/>
      <c r="BW206" s="775"/>
      <c r="BX206" s="775"/>
      <c r="BY206" s="775" t="b">
        <f t="shared" ref="BY206:BY240" si="386">IF(BZ206&lt;0.2,TRUE,FALSE)</f>
        <v>0</v>
      </c>
      <c r="BZ206" s="775">
        <f t="shared" si="313"/>
        <v>27.898685583681388</v>
      </c>
      <c r="CA206" s="775">
        <v>66</v>
      </c>
      <c r="CB206" s="775">
        <f t="shared" si="310"/>
        <v>33</v>
      </c>
      <c r="CC206" s="673">
        <f t="shared" si="314"/>
        <v>5.1013144163186128</v>
      </c>
      <c r="CD206" s="91">
        <f t="shared" si="315"/>
        <v>2</v>
      </c>
      <c r="CE206" s="775" t="b">
        <f t="shared" si="316"/>
        <v>0</v>
      </c>
      <c r="CF206" s="673"/>
      <c r="CG206" s="775">
        <f t="shared" si="317"/>
        <v>5.1013144163186128</v>
      </c>
      <c r="CH206" s="775">
        <f t="shared" si="318"/>
        <v>3.9064622899056357E-2</v>
      </c>
      <c r="CI206" s="775">
        <f t="shared" si="319"/>
        <v>2.6127963168745766E-3</v>
      </c>
      <c r="CJ206" s="775">
        <f t="shared" si="320"/>
        <v>5.2343954533170542</v>
      </c>
      <c r="CK206" s="775">
        <f t="shared" si="321"/>
        <v>2.5963489746491306</v>
      </c>
      <c r="CL206" s="775">
        <f t="shared" si="322"/>
        <v>4.4986694813527377</v>
      </c>
      <c r="CM206" s="775">
        <f t="shared" si="323"/>
        <v>8.8461358973898054</v>
      </c>
      <c r="CN206" s="775">
        <f t="shared" si="324"/>
        <v>2.4565355473268777</v>
      </c>
      <c r="CO206" s="775">
        <f t="shared" si="325"/>
        <v>3.495882468215985</v>
      </c>
      <c r="CP206" s="775">
        <f t="shared" si="326"/>
        <v>48.83077862382045</v>
      </c>
      <c r="CQ206" s="775">
        <f t="shared" si="327"/>
        <v>7.9157879328096064</v>
      </c>
      <c r="CR206" s="775">
        <f t="shared" ref="CR206:CR240" si="387">$W$7/CH206</f>
        <v>29.059540723927526</v>
      </c>
      <c r="CS206" s="775">
        <f t="shared" si="328"/>
        <v>13.208882147239784</v>
      </c>
      <c r="CT206" s="775">
        <f t="shared" si="329"/>
        <v>5.1013144163186128</v>
      </c>
      <c r="CU206" s="775">
        <f t="shared" si="330"/>
        <v>3.7502989916067619</v>
      </c>
      <c r="CV206" s="775"/>
      <c r="CW206" s="775"/>
      <c r="CX206" s="775"/>
      <c r="CY206" s="775"/>
      <c r="CZ206" s="775"/>
      <c r="DA206" s="775"/>
      <c r="DB206" s="775"/>
      <c r="DC206" s="775"/>
      <c r="DD206" s="775" t="b">
        <f t="shared" ref="DD206:DD240" si="388">IF(DE206&lt;0.2,TRUE,FALSE)</f>
        <v>0</v>
      </c>
      <c r="DE206" s="775">
        <f t="shared" si="331"/>
        <v>14.774980871901178</v>
      </c>
      <c r="DF206" s="776">
        <v>67</v>
      </c>
      <c r="DG206" s="775">
        <f t="shared" ref="DG206:DG240" si="389">DG205-0.5</f>
        <v>17</v>
      </c>
      <c r="DH206" s="673">
        <f t="shared" si="332"/>
        <v>31.774980871901178</v>
      </c>
      <c r="DI206" s="673">
        <f t="shared" si="333"/>
        <v>19</v>
      </c>
      <c r="DJ206" s="775" t="b">
        <f t="shared" si="334"/>
        <v>1</v>
      </c>
      <c r="DK206" s="673"/>
      <c r="DL206" s="775">
        <f t="shared" si="335"/>
        <v>31.774980871901178</v>
      </c>
      <c r="DM206" s="775">
        <f t="shared" si="336"/>
        <v>0.11782653762905212</v>
      </c>
      <c r="DN206" s="775">
        <f t="shared" si="337"/>
        <v>1.3880029046175944E-2</v>
      </c>
      <c r="DO206" s="775">
        <f t="shared" si="338"/>
        <v>1.5130422531661216</v>
      </c>
      <c r="DP206" s="775">
        <f t="shared" si="339"/>
        <v>0.83839899761901593</v>
      </c>
      <c r="DQ206" s="775">
        <f t="shared" si="340"/>
        <v>32.429691847855921</v>
      </c>
      <c r="DR206" s="775">
        <f t="shared" si="341"/>
        <v>55.354891928625605</v>
      </c>
      <c r="DS206" s="775">
        <f t="shared" si="342"/>
        <v>26.253853631350172</v>
      </c>
      <c r="DT206" s="775">
        <f t="shared" si="343"/>
        <v>40.597367690134398</v>
      </c>
      <c r="DU206" s="775">
        <f t="shared" si="344"/>
        <v>165.42845883118918</v>
      </c>
      <c r="DV206" s="775">
        <f t="shared" si="345"/>
        <v>6.7364525166430056</v>
      </c>
      <c r="DW206" s="775">
        <f t="shared" si="346"/>
        <v>9.6345018944195573</v>
      </c>
      <c r="DX206" s="775">
        <f t="shared" si="347"/>
        <v>4.37931904291798</v>
      </c>
      <c r="DY206" s="775">
        <f t="shared" si="348"/>
        <v>31.774980871901178</v>
      </c>
      <c r="DZ206" s="775">
        <f t="shared" si="349"/>
        <v>36.956691722329701</v>
      </c>
      <c r="EA206" s="775"/>
      <c r="EB206" s="775"/>
      <c r="EC206" s="775"/>
      <c r="ED206" s="775"/>
      <c r="EE206" s="775"/>
      <c r="EF206" s="775" t="b">
        <f t="shared" ref="EF206:EF240" si="390">IF(EG206&lt;0.2,TRUE,FALSE)</f>
        <v>0</v>
      </c>
      <c r="EG206" s="775">
        <f t="shared" si="350"/>
        <v>27.898685583681388</v>
      </c>
      <c r="EH206" s="775">
        <v>66</v>
      </c>
      <c r="EI206" s="775">
        <f t="shared" si="311"/>
        <v>33</v>
      </c>
      <c r="EJ206" s="673">
        <f t="shared" si="351"/>
        <v>5.1013144163186128</v>
      </c>
      <c r="EK206" s="673">
        <f t="shared" si="352"/>
        <v>2.2510196371999172</v>
      </c>
      <c r="EL206" s="775" t="b">
        <f t="shared" si="353"/>
        <v>0</v>
      </c>
      <c r="EM206" s="673"/>
      <c r="EN206" s="775">
        <f t="shared" si="354"/>
        <v>5.1013144163186128</v>
      </c>
      <c r="EO206" s="775">
        <f t="shared" si="355"/>
        <v>3.9064622899056357E-2</v>
      </c>
      <c r="EP206" s="775">
        <f t="shared" si="356"/>
        <v>2.6127963168745766E-3</v>
      </c>
      <c r="EQ206" s="775">
        <f t="shared" si="357"/>
        <v>5.2343954533170542</v>
      </c>
      <c r="ER206" s="775">
        <f t="shared" si="358"/>
        <v>2.5963489746491306</v>
      </c>
      <c r="ES206" s="775">
        <f t="shared" si="359"/>
        <v>4.4986694813527377</v>
      </c>
      <c r="ET206" s="775">
        <f t="shared" si="360"/>
        <v>8.8461358973898054</v>
      </c>
      <c r="EU206" s="775">
        <f t="shared" si="361"/>
        <v>2.4565355473268777</v>
      </c>
      <c r="EV206" s="775">
        <f t="shared" si="362"/>
        <v>3.495882468215985</v>
      </c>
      <c r="EW206" s="775">
        <f t="shared" si="363"/>
        <v>48.83077862382045</v>
      </c>
      <c r="EX206" s="775">
        <f t="shared" si="364"/>
        <v>7.9157879328096064</v>
      </c>
      <c r="EY206" s="775">
        <f t="shared" ref="EY206:EY240" si="391">$W$7/EO206</f>
        <v>29.059540723927526</v>
      </c>
      <c r="EZ206" s="775">
        <f t="shared" si="365"/>
        <v>13.208882147239784</v>
      </c>
      <c r="FA206" s="775">
        <f t="shared" si="366"/>
        <v>5.1013144163186128</v>
      </c>
      <c r="FB206" s="775">
        <f t="shared" si="367"/>
        <v>3.7502989916067619</v>
      </c>
      <c r="FC206" s="775"/>
      <c r="FD206" s="775"/>
      <c r="FE206" s="775"/>
      <c r="FF206" s="775"/>
      <c r="FG206" s="775"/>
      <c r="FH206" s="775"/>
      <c r="FI206" s="775"/>
      <c r="FJ206" s="775"/>
      <c r="FK206" s="775" t="b">
        <f t="shared" ref="FK206:FK240" si="392">IF(FL206&lt;0.2,TRUE,FALSE)</f>
        <v>0</v>
      </c>
      <c r="FL206" s="775">
        <f t="shared" si="368"/>
        <v>19.956691722329701</v>
      </c>
      <c r="FM206" s="775">
        <v>66</v>
      </c>
      <c r="FN206" s="775">
        <f t="shared" ref="FN206:FN240" si="393">FN205-0.5</f>
        <v>17</v>
      </c>
      <c r="FO206" s="673">
        <f t="shared" si="312"/>
        <v>36.956691722329701</v>
      </c>
      <c r="FP206" s="673">
        <f t="shared" si="369"/>
        <v>24.403675819467587</v>
      </c>
      <c r="FQ206" s="775" t="b">
        <f t="shared" si="370"/>
        <v>1</v>
      </c>
      <c r="FR206" s="673"/>
      <c r="FS206" s="775">
        <f t="shared" si="371"/>
        <v>36.956691722329701</v>
      </c>
      <c r="FT206" s="775">
        <f t="shared" si="372"/>
        <v>0.11782653762905212</v>
      </c>
      <c r="FU206" s="775">
        <f t="shared" si="373"/>
        <v>1.3880029046175944E-2</v>
      </c>
      <c r="FV206" s="775">
        <f t="shared" si="374"/>
        <v>1.5130422531661216</v>
      </c>
      <c r="FW206" s="775">
        <f t="shared" si="375"/>
        <v>0.83839899761901593</v>
      </c>
      <c r="FX206" s="775">
        <f t="shared" si="376"/>
        <v>41.652825620016138</v>
      </c>
      <c r="FY206" s="775">
        <f t="shared" si="377"/>
        <v>71.098044086728535</v>
      </c>
      <c r="FZ206" s="775">
        <f t="shared" si="378"/>
        <v>26.253853631350172</v>
      </c>
      <c r="GA206" s="775">
        <f t="shared" si="379"/>
        <v>40.597367690134398</v>
      </c>
      <c r="GB206" s="775">
        <f t="shared" si="380"/>
        <v>165.42845883118918</v>
      </c>
      <c r="GC206" s="775">
        <f t="shared" si="381"/>
        <v>6.7364525166430056</v>
      </c>
      <c r="GD206" s="775">
        <f t="shared" si="382"/>
        <v>3.5097951350226348</v>
      </c>
      <c r="GE206" s="775">
        <f t="shared" si="383"/>
        <v>1.5953614250102885</v>
      </c>
      <c r="GF206" s="775">
        <f t="shared" si="384"/>
        <v>37.569421940294227</v>
      </c>
      <c r="GG206" s="775">
        <f t="shared" si="385"/>
        <v>36.956691722329701</v>
      </c>
    </row>
    <row r="207" spans="70:189">
      <c r="BR207" s="775"/>
      <c r="BS207" s="775"/>
      <c r="BT207" s="775"/>
      <c r="BU207" s="775"/>
      <c r="BV207" s="775"/>
      <c r="BW207" s="775"/>
      <c r="BX207" s="775"/>
      <c r="BY207" s="775" t="b">
        <f t="shared" si="386"/>
        <v>0</v>
      </c>
      <c r="BZ207" s="775">
        <f t="shared" si="313"/>
        <v>28.37663355896332</v>
      </c>
      <c r="CA207" s="775">
        <v>67</v>
      </c>
      <c r="CB207" s="775">
        <f t="shared" ref="CB207:CB240" si="394">CB206+0.5</f>
        <v>33.5</v>
      </c>
      <c r="CC207" s="673">
        <f t="shared" si="314"/>
        <v>5.1233664410366817</v>
      </c>
      <c r="CD207" s="91">
        <f t="shared" si="315"/>
        <v>2</v>
      </c>
      <c r="CE207" s="775" t="b">
        <f t="shared" si="316"/>
        <v>0</v>
      </c>
      <c r="CF207" s="673"/>
      <c r="CG207" s="775">
        <f t="shared" si="317"/>
        <v>5.1233664410366817</v>
      </c>
      <c r="CH207" s="775">
        <f t="shared" si="318"/>
        <v>3.8493144188793717E-2</v>
      </c>
      <c r="CI207" s="775">
        <f t="shared" si="319"/>
        <v>2.5745735629213438E-3</v>
      </c>
      <c r="CJ207" s="775">
        <f t="shared" si="320"/>
        <v>5.2393728453368249</v>
      </c>
      <c r="CK207" s="775">
        <f t="shared" si="321"/>
        <v>2.5975507993596363</v>
      </c>
      <c r="CL207" s="775">
        <f t="shared" si="322"/>
        <v>4.5152744089621057</v>
      </c>
      <c r="CM207" s="775">
        <f t="shared" si="323"/>
        <v>8.8787876507154628</v>
      </c>
      <c r="CN207" s="775">
        <f t="shared" si="324"/>
        <v>2.4613324297962809</v>
      </c>
      <c r="CO207" s="775">
        <f t="shared" si="325"/>
        <v>3.5025276223207786</v>
      </c>
      <c r="CP207" s="775">
        <f t="shared" si="326"/>
        <v>48.116430235992148</v>
      </c>
      <c r="CQ207" s="775">
        <f t="shared" si="327"/>
        <v>7.7999873965995441</v>
      </c>
      <c r="CR207" s="775">
        <f t="shared" si="387"/>
        <v>29.490965831013725</v>
      </c>
      <c r="CS207" s="775">
        <f t="shared" si="328"/>
        <v>13.404984468642601</v>
      </c>
      <c r="CT207" s="775">
        <f t="shared" si="329"/>
        <v>5.1233664410366817</v>
      </c>
      <c r="CU207" s="775">
        <f t="shared" si="330"/>
        <v>3.7593783442805253</v>
      </c>
      <c r="CV207" s="775"/>
      <c r="CW207" s="775"/>
      <c r="CX207" s="775"/>
      <c r="CY207" s="775"/>
      <c r="CZ207" s="775"/>
      <c r="DA207" s="775"/>
      <c r="DB207" s="775"/>
      <c r="DC207" s="775"/>
      <c r="DD207" s="775" t="b">
        <f t="shared" si="388"/>
        <v>0</v>
      </c>
      <c r="DE207" s="775">
        <f t="shared" si="331"/>
        <v>15.132732641489959</v>
      </c>
      <c r="DF207" s="776">
        <v>68</v>
      </c>
      <c r="DG207" s="775">
        <f t="shared" si="389"/>
        <v>16.5</v>
      </c>
      <c r="DH207" s="673">
        <f t="shared" si="332"/>
        <v>31.632732641489959</v>
      </c>
      <c r="DI207" s="673">
        <f t="shared" si="333"/>
        <v>19</v>
      </c>
      <c r="DJ207" s="775" t="b">
        <f t="shared" si="334"/>
        <v>1</v>
      </c>
      <c r="DK207" s="673"/>
      <c r="DL207" s="775">
        <f t="shared" si="335"/>
        <v>31.632732641489959</v>
      </c>
      <c r="DM207" s="775">
        <f t="shared" si="336"/>
        <v>0.12087990260558344</v>
      </c>
      <c r="DN207" s="775">
        <f t="shared" si="337"/>
        <v>1.4239717070755402E-2</v>
      </c>
      <c r="DO207" s="775">
        <f t="shared" si="338"/>
        <v>1.5037774491778095</v>
      </c>
      <c r="DP207" s="775">
        <f t="shared" si="339"/>
        <v>0.83554613658155841</v>
      </c>
      <c r="DQ207" s="775">
        <f t="shared" si="340"/>
        <v>32.222933542219465</v>
      </c>
      <c r="DR207" s="775">
        <f t="shared" si="341"/>
        <v>55.001972026779278</v>
      </c>
      <c r="DS207" s="775">
        <f t="shared" si="342"/>
        <v>26.112208220349991</v>
      </c>
      <c r="DT207" s="775">
        <f t="shared" si="343"/>
        <v>40.394323432752515</v>
      </c>
      <c r="DU207" s="775">
        <f t="shared" si="344"/>
        <v>169.71538325823914</v>
      </c>
      <c r="DV207" s="775">
        <f t="shared" si="345"/>
        <v>6.9110214091376658</v>
      </c>
      <c r="DW207" s="775">
        <f t="shared" si="346"/>
        <v>9.3911392674100735</v>
      </c>
      <c r="DX207" s="775">
        <f t="shared" si="347"/>
        <v>4.2686996670045785</v>
      </c>
      <c r="DY207" s="775">
        <f t="shared" si="348"/>
        <v>31.632732641489959</v>
      </c>
      <c r="DZ207" s="775">
        <f t="shared" si="349"/>
        <v>36.83743538082021</v>
      </c>
      <c r="EA207" s="775"/>
      <c r="EB207" s="775"/>
      <c r="EC207" s="775"/>
      <c r="ED207" s="775"/>
      <c r="EE207" s="775"/>
      <c r="EF207" s="775" t="b">
        <f t="shared" si="390"/>
        <v>0</v>
      </c>
      <c r="EG207" s="775">
        <f t="shared" si="350"/>
        <v>28.37663355896332</v>
      </c>
      <c r="EH207" s="775">
        <v>67</v>
      </c>
      <c r="EI207" s="775">
        <f t="shared" ref="EI207:EI240" si="395">EI206+0.5</f>
        <v>33.5</v>
      </c>
      <c r="EJ207" s="673">
        <f t="shared" si="351"/>
        <v>5.1233664410366817</v>
      </c>
      <c r="EK207" s="673">
        <f t="shared" si="352"/>
        <v>2.2510196371999172</v>
      </c>
      <c r="EL207" s="775" t="b">
        <f t="shared" si="353"/>
        <v>0</v>
      </c>
      <c r="EM207" s="673"/>
      <c r="EN207" s="775">
        <f t="shared" si="354"/>
        <v>5.1233664410366817</v>
      </c>
      <c r="EO207" s="775">
        <f t="shared" si="355"/>
        <v>3.8493144188793717E-2</v>
      </c>
      <c r="EP207" s="775">
        <f t="shared" si="356"/>
        <v>2.5745735629213438E-3</v>
      </c>
      <c r="EQ207" s="775">
        <f t="shared" si="357"/>
        <v>5.2393728453368249</v>
      </c>
      <c r="ER207" s="775">
        <f t="shared" si="358"/>
        <v>2.5975507993596363</v>
      </c>
      <c r="ES207" s="775">
        <f t="shared" si="359"/>
        <v>4.5152744089621057</v>
      </c>
      <c r="ET207" s="775">
        <f t="shared" si="360"/>
        <v>8.8787876507154628</v>
      </c>
      <c r="EU207" s="775">
        <f t="shared" si="361"/>
        <v>2.4613324297962809</v>
      </c>
      <c r="EV207" s="775">
        <f t="shared" si="362"/>
        <v>3.5025276223207786</v>
      </c>
      <c r="EW207" s="775">
        <f t="shared" si="363"/>
        <v>48.116430235992148</v>
      </c>
      <c r="EX207" s="775">
        <f t="shared" si="364"/>
        <v>7.7999873965995441</v>
      </c>
      <c r="EY207" s="775">
        <f t="shared" si="391"/>
        <v>29.490965831013725</v>
      </c>
      <c r="EZ207" s="775">
        <f t="shared" si="365"/>
        <v>13.404984468642601</v>
      </c>
      <c r="FA207" s="775">
        <f t="shared" si="366"/>
        <v>5.1233664410366817</v>
      </c>
      <c r="FB207" s="775">
        <f t="shared" si="367"/>
        <v>3.7593783442805253</v>
      </c>
      <c r="FC207" s="775"/>
      <c r="FD207" s="775"/>
      <c r="FE207" s="775"/>
      <c r="FF207" s="775"/>
      <c r="FG207" s="775"/>
      <c r="FH207" s="775"/>
      <c r="FI207" s="775"/>
      <c r="FJ207" s="775"/>
      <c r="FK207" s="775" t="b">
        <f t="shared" si="392"/>
        <v>0</v>
      </c>
      <c r="FL207" s="775">
        <f t="shared" si="368"/>
        <v>20.33743538082021</v>
      </c>
      <c r="FM207" s="775">
        <v>67</v>
      </c>
      <c r="FN207" s="775">
        <f t="shared" si="393"/>
        <v>16.5</v>
      </c>
      <c r="FO207" s="673">
        <f t="shared" si="312"/>
        <v>36.83743538082021</v>
      </c>
      <c r="FP207" s="673">
        <f t="shared" si="369"/>
        <v>24.403675819467587</v>
      </c>
      <c r="FQ207" s="775" t="b">
        <f t="shared" si="370"/>
        <v>1</v>
      </c>
      <c r="FR207" s="673"/>
      <c r="FS207" s="775">
        <f t="shared" si="371"/>
        <v>36.83743538082021</v>
      </c>
      <c r="FT207" s="775">
        <f t="shared" si="372"/>
        <v>0.12087990260558344</v>
      </c>
      <c r="FU207" s="775">
        <f t="shared" si="373"/>
        <v>1.4239717070755402E-2</v>
      </c>
      <c r="FV207" s="775">
        <f t="shared" si="374"/>
        <v>1.5037774491778095</v>
      </c>
      <c r="FW207" s="775">
        <f t="shared" si="375"/>
        <v>0.83554613658155841</v>
      </c>
      <c r="FX207" s="775">
        <f t="shared" si="376"/>
        <v>41.387264427188015</v>
      </c>
      <c r="FY207" s="775">
        <f t="shared" si="377"/>
        <v>70.644752356470846</v>
      </c>
      <c r="FZ207" s="775">
        <f t="shared" si="378"/>
        <v>26.112208220349991</v>
      </c>
      <c r="GA207" s="775">
        <f t="shared" si="379"/>
        <v>40.394323432752515</v>
      </c>
      <c r="GB207" s="775">
        <f t="shared" si="380"/>
        <v>169.71538325823914</v>
      </c>
      <c r="GC207" s="775">
        <f t="shared" si="381"/>
        <v>6.9110214091376658</v>
      </c>
      <c r="GD207" s="775">
        <f t="shared" si="382"/>
        <v>3.4211394916189053</v>
      </c>
      <c r="GE207" s="775">
        <f t="shared" si="383"/>
        <v>1.5550634052813204</v>
      </c>
      <c r="GF207" s="775">
        <f t="shared" si="384"/>
        <v>37.416378514779332</v>
      </c>
      <c r="GG207" s="775">
        <f t="shared" si="385"/>
        <v>36.83743538082021</v>
      </c>
    </row>
    <row r="208" spans="70:189">
      <c r="BR208" s="775"/>
      <c r="BS208" s="775"/>
      <c r="BT208" s="775"/>
      <c r="BU208" s="775"/>
      <c r="BV208" s="775"/>
      <c r="BW208" s="775"/>
      <c r="BX208" s="775"/>
      <c r="BY208" s="775" t="b">
        <f t="shared" si="386"/>
        <v>0</v>
      </c>
      <c r="BZ208" s="775">
        <f t="shared" si="313"/>
        <v>28.854838723353325</v>
      </c>
      <c r="CA208" s="775">
        <v>68</v>
      </c>
      <c r="CB208" s="775">
        <f t="shared" si="394"/>
        <v>34</v>
      </c>
      <c r="CC208" s="673">
        <f t="shared" si="314"/>
        <v>5.1451612766466743</v>
      </c>
      <c r="CD208" s="91">
        <f t="shared" si="315"/>
        <v>2</v>
      </c>
      <c r="CE208" s="775" t="b">
        <f t="shared" si="316"/>
        <v>0</v>
      </c>
      <c r="CF208" s="673"/>
      <c r="CG208" s="775">
        <f t="shared" si="317"/>
        <v>5.1451612766466743</v>
      </c>
      <c r="CH208" s="775">
        <f t="shared" si="318"/>
        <v>3.7938308059500568E-2</v>
      </c>
      <c r="CI208" s="775">
        <f t="shared" si="319"/>
        <v>2.5374639305352316E-3</v>
      </c>
      <c r="CJ208" s="775">
        <f t="shared" si="320"/>
        <v>5.2442170769035474</v>
      </c>
      <c r="CK208" s="775">
        <f t="shared" si="321"/>
        <v>2.5987192227634495</v>
      </c>
      <c r="CL208" s="775">
        <f t="shared" si="322"/>
        <v>4.5316932621985924</v>
      </c>
      <c r="CM208" s="775">
        <f t="shared" si="323"/>
        <v>8.9110735093701834</v>
      </c>
      <c r="CN208" s="775">
        <f t="shared" si="324"/>
        <v>2.4660664973845954</v>
      </c>
      <c r="CO208" s="775">
        <f t="shared" si="325"/>
        <v>3.5090859820451787</v>
      </c>
      <c r="CP208" s="775">
        <f t="shared" si="326"/>
        <v>47.422885074375714</v>
      </c>
      <c r="CQ208" s="775">
        <f t="shared" si="327"/>
        <v>7.687559199140825</v>
      </c>
      <c r="CR208" s="775">
        <f t="shared" si="387"/>
        <v>29.922262168877126</v>
      </c>
      <c r="CS208" s="775">
        <f t="shared" si="328"/>
        <v>13.601028258580511</v>
      </c>
      <c r="CT208" s="775">
        <f t="shared" si="329"/>
        <v>5.1451612766466743</v>
      </c>
      <c r="CU208" s="775">
        <f t="shared" si="330"/>
        <v>3.768337429402409</v>
      </c>
      <c r="CV208" s="775"/>
      <c r="CW208" s="775"/>
      <c r="CX208" s="775"/>
      <c r="CY208" s="775"/>
      <c r="CZ208" s="775"/>
      <c r="DA208" s="775"/>
      <c r="DB208" s="775"/>
      <c r="DC208" s="775"/>
      <c r="DD208" s="775" t="b">
        <f t="shared" si="388"/>
        <v>0</v>
      </c>
      <c r="DE208" s="775">
        <f t="shared" si="331"/>
        <v>15.486439905775494</v>
      </c>
      <c r="DF208" s="776">
        <v>69</v>
      </c>
      <c r="DG208" s="775">
        <f t="shared" si="389"/>
        <v>16</v>
      </c>
      <c r="DH208" s="673">
        <f t="shared" si="332"/>
        <v>31.486439905775494</v>
      </c>
      <c r="DI208" s="673">
        <f t="shared" si="333"/>
        <v>19</v>
      </c>
      <c r="DJ208" s="775" t="b">
        <f t="shared" si="334"/>
        <v>1</v>
      </c>
      <c r="DK208" s="673"/>
      <c r="DL208" s="775">
        <f t="shared" si="335"/>
        <v>31.486439905775494</v>
      </c>
      <c r="DM208" s="775">
        <f t="shared" si="336"/>
        <v>0.12411006883000417</v>
      </c>
      <c r="DN208" s="775">
        <f t="shared" si="337"/>
        <v>1.462023237673925E-2</v>
      </c>
      <c r="DO208" s="775">
        <f t="shared" si="338"/>
        <v>1.4941351025227736</v>
      </c>
      <c r="DP208" s="775">
        <f t="shared" si="339"/>
        <v>0.83255956074260995</v>
      </c>
      <c r="DQ208" s="775">
        <f t="shared" si="340"/>
        <v>32.011192042511723</v>
      </c>
      <c r="DR208" s="775">
        <f t="shared" si="341"/>
        <v>54.640546210952351</v>
      </c>
      <c r="DS208" s="775">
        <f t="shared" si="342"/>
        <v>25.966885200121279</v>
      </c>
      <c r="DT208" s="775">
        <f t="shared" si="343"/>
        <v>40.185882476211383</v>
      </c>
      <c r="DU208" s="775">
        <f t="shared" si="344"/>
        <v>174.25053663732584</v>
      </c>
      <c r="DV208" s="775">
        <f t="shared" si="345"/>
        <v>7.0956984931760658</v>
      </c>
      <c r="DW208" s="775">
        <f t="shared" si="346"/>
        <v>9.1467196070522228</v>
      </c>
      <c r="DX208" s="775">
        <f t="shared" si="347"/>
        <v>4.1575998213873735</v>
      </c>
      <c r="DY208" s="775">
        <f t="shared" si="348"/>
        <v>31.486439905775494</v>
      </c>
      <c r="DZ208" s="775">
        <f t="shared" si="349"/>
        <v>36.714539088494064</v>
      </c>
      <c r="EA208" s="775"/>
      <c r="EB208" s="775"/>
      <c r="EC208" s="775"/>
      <c r="ED208" s="775"/>
      <c r="EE208" s="775"/>
      <c r="EF208" s="775" t="b">
        <f t="shared" si="390"/>
        <v>0</v>
      </c>
      <c r="EG208" s="775">
        <f t="shared" si="350"/>
        <v>28.854838723353325</v>
      </c>
      <c r="EH208" s="775">
        <v>68</v>
      </c>
      <c r="EI208" s="775">
        <f t="shared" si="395"/>
        <v>34</v>
      </c>
      <c r="EJ208" s="673">
        <f t="shared" si="351"/>
        <v>5.1451612766466743</v>
      </c>
      <c r="EK208" s="673">
        <f t="shared" si="352"/>
        <v>2.2510196371999172</v>
      </c>
      <c r="EL208" s="775" t="b">
        <f t="shared" si="353"/>
        <v>0</v>
      </c>
      <c r="EM208" s="673"/>
      <c r="EN208" s="775">
        <f t="shared" si="354"/>
        <v>5.1451612766466743</v>
      </c>
      <c r="EO208" s="775">
        <f t="shared" si="355"/>
        <v>3.7938308059500568E-2</v>
      </c>
      <c r="EP208" s="775">
        <f t="shared" si="356"/>
        <v>2.5374639305352316E-3</v>
      </c>
      <c r="EQ208" s="775">
        <f t="shared" si="357"/>
        <v>5.2442170769035474</v>
      </c>
      <c r="ER208" s="775">
        <f t="shared" si="358"/>
        <v>2.5987192227634495</v>
      </c>
      <c r="ES208" s="775">
        <f t="shared" si="359"/>
        <v>4.5316932621985924</v>
      </c>
      <c r="ET208" s="775">
        <f t="shared" si="360"/>
        <v>8.9110735093701834</v>
      </c>
      <c r="EU208" s="775">
        <f t="shared" si="361"/>
        <v>2.4660664973845954</v>
      </c>
      <c r="EV208" s="775">
        <f t="shared" si="362"/>
        <v>3.5090859820451787</v>
      </c>
      <c r="EW208" s="775">
        <f t="shared" si="363"/>
        <v>47.422885074375714</v>
      </c>
      <c r="EX208" s="775">
        <f t="shared" si="364"/>
        <v>7.687559199140825</v>
      </c>
      <c r="EY208" s="775">
        <f t="shared" si="391"/>
        <v>29.922262168877126</v>
      </c>
      <c r="EZ208" s="775">
        <f t="shared" si="365"/>
        <v>13.601028258580511</v>
      </c>
      <c r="FA208" s="775">
        <f t="shared" si="366"/>
        <v>5.1451612766466743</v>
      </c>
      <c r="FB208" s="775">
        <f t="shared" si="367"/>
        <v>3.768337429402409</v>
      </c>
      <c r="FC208" s="775"/>
      <c r="FD208" s="775"/>
      <c r="FE208" s="775"/>
      <c r="FF208" s="775"/>
      <c r="FG208" s="775"/>
      <c r="FH208" s="775"/>
      <c r="FI208" s="775"/>
      <c r="FJ208" s="775"/>
      <c r="FK208" s="775" t="b">
        <f t="shared" si="392"/>
        <v>0</v>
      </c>
      <c r="FL208" s="775">
        <f t="shared" si="368"/>
        <v>20.714539088494064</v>
      </c>
      <c r="FM208" s="775">
        <v>68</v>
      </c>
      <c r="FN208" s="775">
        <f t="shared" si="393"/>
        <v>16</v>
      </c>
      <c r="FO208" s="673">
        <f t="shared" si="312"/>
        <v>36.714539088494064</v>
      </c>
      <c r="FP208" s="673">
        <f t="shared" si="369"/>
        <v>24.403675819467587</v>
      </c>
      <c r="FQ208" s="775" t="b">
        <f t="shared" si="370"/>
        <v>1</v>
      </c>
      <c r="FR208" s="673"/>
      <c r="FS208" s="775">
        <f t="shared" si="371"/>
        <v>36.714539088494064</v>
      </c>
      <c r="FT208" s="775">
        <f t="shared" si="372"/>
        <v>0.12411006883000417</v>
      </c>
      <c r="FU208" s="775">
        <f t="shared" si="373"/>
        <v>1.462023237673925E-2</v>
      </c>
      <c r="FV208" s="775">
        <f t="shared" si="374"/>
        <v>1.4941351025227736</v>
      </c>
      <c r="FW208" s="775">
        <f t="shared" si="375"/>
        <v>0.83255956074260995</v>
      </c>
      <c r="FX208" s="775">
        <f t="shared" si="376"/>
        <v>41.115302800009296</v>
      </c>
      <c r="FY208" s="775">
        <f t="shared" si="377"/>
        <v>70.18053559635365</v>
      </c>
      <c r="FZ208" s="775">
        <f t="shared" si="378"/>
        <v>25.966885200121279</v>
      </c>
      <c r="GA208" s="775">
        <f t="shared" si="379"/>
        <v>40.185882476211383</v>
      </c>
      <c r="GB208" s="775">
        <f t="shared" si="380"/>
        <v>174.25053663732584</v>
      </c>
      <c r="GC208" s="775">
        <f t="shared" si="381"/>
        <v>7.0956984931760658</v>
      </c>
      <c r="GD208" s="775">
        <f t="shared" si="382"/>
        <v>3.3320987768804757</v>
      </c>
      <c r="GE208" s="775">
        <f t="shared" si="383"/>
        <v>1.5145903531274889</v>
      </c>
      <c r="GF208" s="775">
        <f t="shared" si="384"/>
        <v>37.258866857911521</v>
      </c>
      <c r="GG208" s="775">
        <f t="shared" si="385"/>
        <v>36.714539088494064</v>
      </c>
    </row>
    <row r="209" spans="70:189">
      <c r="BR209" s="775"/>
      <c r="BS209" s="775"/>
      <c r="BT209" s="775"/>
      <c r="BU209" s="775"/>
      <c r="BV209" s="775"/>
      <c r="BW209" s="775"/>
      <c r="BX209" s="775"/>
      <c r="BY209" s="775" t="b">
        <f t="shared" si="386"/>
        <v>0</v>
      </c>
      <c r="BZ209" s="775">
        <f t="shared" si="313"/>
        <v>29.333294393818026</v>
      </c>
      <c r="CA209" s="775">
        <v>69</v>
      </c>
      <c r="CB209" s="775">
        <f t="shared" si="394"/>
        <v>34.5</v>
      </c>
      <c r="CC209" s="673">
        <f t="shared" si="314"/>
        <v>5.1667056061819734</v>
      </c>
      <c r="CD209" s="91">
        <f t="shared" si="315"/>
        <v>2</v>
      </c>
      <c r="CE209" s="775" t="b">
        <f t="shared" si="316"/>
        <v>0</v>
      </c>
      <c r="CF209" s="673"/>
      <c r="CG209" s="775">
        <f t="shared" si="317"/>
        <v>5.1667056061819734</v>
      </c>
      <c r="CH209" s="775">
        <f t="shared" si="318"/>
        <v>3.7399395639428165E-2</v>
      </c>
      <c r="CI209" s="775">
        <f t="shared" si="319"/>
        <v>2.501419338733549E-3</v>
      </c>
      <c r="CJ209" s="775">
        <f t="shared" si="320"/>
        <v>5.2489334444849796</v>
      </c>
      <c r="CK209" s="775">
        <f t="shared" si="321"/>
        <v>2.599855623429765</v>
      </c>
      <c r="CL209" s="775">
        <f t="shared" si="322"/>
        <v>4.547930817205696</v>
      </c>
      <c r="CM209" s="775">
        <f t="shared" si="323"/>
        <v>8.9430028651118274</v>
      </c>
      <c r="CN209" s="775">
        <f t="shared" si="324"/>
        <v>2.4707394794487896</v>
      </c>
      <c r="CO209" s="775">
        <f t="shared" si="325"/>
        <v>3.5155599337087553</v>
      </c>
      <c r="CP209" s="775">
        <f t="shared" si="326"/>
        <v>46.749244549285208</v>
      </c>
      <c r="CQ209" s="775">
        <f t="shared" si="327"/>
        <v>7.5783576731802764</v>
      </c>
      <c r="CR209" s="775">
        <f t="shared" si="387"/>
        <v>30.353431668912314</v>
      </c>
      <c r="CS209" s="775">
        <f t="shared" si="328"/>
        <v>13.797014394960142</v>
      </c>
      <c r="CT209" s="775">
        <f t="shared" si="329"/>
        <v>5.1667056061819734</v>
      </c>
      <c r="CU209" s="775">
        <f t="shared" si="330"/>
        <v>3.7771795726089512</v>
      </c>
      <c r="CV209" s="775"/>
      <c r="CW209" s="775"/>
      <c r="CX209" s="775"/>
      <c r="CY209" s="775"/>
      <c r="CZ209" s="775"/>
      <c r="DA209" s="775"/>
      <c r="DB209" s="775"/>
      <c r="DC209" s="775"/>
      <c r="DD209" s="775" t="b">
        <f t="shared" si="388"/>
        <v>0</v>
      </c>
      <c r="DE209" s="775">
        <f t="shared" si="331"/>
        <v>15.835858648992801</v>
      </c>
      <c r="DF209" s="776">
        <v>70</v>
      </c>
      <c r="DG209" s="775">
        <f t="shared" si="389"/>
        <v>15.5</v>
      </c>
      <c r="DH209" s="673">
        <f t="shared" si="332"/>
        <v>31.335858648992801</v>
      </c>
      <c r="DI209" s="673">
        <f t="shared" si="333"/>
        <v>19</v>
      </c>
      <c r="DJ209" s="775" t="b">
        <f t="shared" si="334"/>
        <v>1</v>
      </c>
      <c r="DK209" s="673"/>
      <c r="DL209" s="775">
        <f t="shared" si="335"/>
        <v>31.335858648992801</v>
      </c>
      <c r="DM209" s="775">
        <f t="shared" si="336"/>
        <v>0.1275332937785616</v>
      </c>
      <c r="DN209" s="775">
        <f t="shared" si="337"/>
        <v>1.5023490103510097E-2</v>
      </c>
      <c r="DO209" s="775">
        <f t="shared" si="338"/>
        <v>1.4840900346212189</v>
      </c>
      <c r="DP209" s="775">
        <f t="shared" si="339"/>
        <v>0.82942917864657606</v>
      </c>
      <c r="DQ209" s="775">
        <f t="shared" si="340"/>
        <v>31.794185729228158</v>
      </c>
      <c r="DR209" s="775">
        <f t="shared" si="341"/>
        <v>54.270133779159991</v>
      </c>
      <c r="DS209" s="775">
        <f t="shared" si="342"/>
        <v>25.817670683081786</v>
      </c>
      <c r="DT209" s="775">
        <f t="shared" si="343"/>
        <v>39.971727415545637</v>
      </c>
      <c r="DU209" s="775">
        <f t="shared" si="344"/>
        <v>179.05674446510048</v>
      </c>
      <c r="DV209" s="775">
        <f t="shared" si="345"/>
        <v>7.2914132513602103</v>
      </c>
      <c r="DW209" s="775">
        <f t="shared" si="346"/>
        <v>8.9012050607825479</v>
      </c>
      <c r="DX209" s="775">
        <f t="shared" si="347"/>
        <v>4.0460023003557035</v>
      </c>
      <c r="DY209" s="775">
        <f t="shared" si="348"/>
        <v>31.335858648992801</v>
      </c>
      <c r="DZ209" s="775">
        <f t="shared" si="349"/>
        <v>36.587774689007688</v>
      </c>
      <c r="EA209" s="775"/>
      <c r="EB209" s="775"/>
      <c r="EC209" s="775"/>
      <c r="ED209" s="775"/>
      <c r="EE209" s="775"/>
      <c r="EF209" s="775" t="b">
        <f t="shared" si="390"/>
        <v>0</v>
      </c>
      <c r="EG209" s="775">
        <f t="shared" si="350"/>
        <v>29.333294393818026</v>
      </c>
      <c r="EH209" s="775">
        <v>69</v>
      </c>
      <c r="EI209" s="775">
        <f t="shared" si="395"/>
        <v>34.5</v>
      </c>
      <c r="EJ209" s="673">
        <f t="shared" si="351"/>
        <v>5.1667056061819734</v>
      </c>
      <c r="EK209" s="673">
        <f t="shared" si="352"/>
        <v>2.2510196371999172</v>
      </c>
      <c r="EL209" s="775" t="b">
        <f t="shared" si="353"/>
        <v>0</v>
      </c>
      <c r="EM209" s="673"/>
      <c r="EN209" s="775">
        <f t="shared" si="354"/>
        <v>5.1667056061819734</v>
      </c>
      <c r="EO209" s="775">
        <f t="shared" si="355"/>
        <v>3.7399395639428165E-2</v>
      </c>
      <c r="EP209" s="775">
        <f t="shared" si="356"/>
        <v>2.501419338733549E-3</v>
      </c>
      <c r="EQ209" s="775">
        <f t="shared" si="357"/>
        <v>5.2489334444849796</v>
      </c>
      <c r="ER209" s="775">
        <f t="shared" si="358"/>
        <v>2.599855623429765</v>
      </c>
      <c r="ES209" s="775">
        <f t="shared" si="359"/>
        <v>4.547930817205696</v>
      </c>
      <c r="ET209" s="775">
        <f t="shared" si="360"/>
        <v>8.9430028651118274</v>
      </c>
      <c r="EU209" s="775">
        <f t="shared" si="361"/>
        <v>2.4707394794487896</v>
      </c>
      <c r="EV209" s="775">
        <f t="shared" si="362"/>
        <v>3.5155599337087553</v>
      </c>
      <c r="EW209" s="775">
        <f t="shared" si="363"/>
        <v>46.749244549285208</v>
      </c>
      <c r="EX209" s="775">
        <f t="shared" si="364"/>
        <v>7.5783576731802764</v>
      </c>
      <c r="EY209" s="775">
        <f t="shared" si="391"/>
        <v>30.353431668912314</v>
      </c>
      <c r="EZ209" s="775">
        <f t="shared" si="365"/>
        <v>13.797014394960142</v>
      </c>
      <c r="FA209" s="775">
        <f t="shared" si="366"/>
        <v>5.1667056061819734</v>
      </c>
      <c r="FB209" s="775">
        <f t="shared" si="367"/>
        <v>3.7771795726089512</v>
      </c>
      <c r="FC209" s="775"/>
      <c r="FD209" s="775"/>
      <c r="FE209" s="775"/>
      <c r="FF209" s="775"/>
      <c r="FG209" s="775"/>
      <c r="FH209" s="775"/>
      <c r="FI209" s="775"/>
      <c r="FJ209" s="775"/>
      <c r="FK209" s="775" t="b">
        <f t="shared" si="392"/>
        <v>0</v>
      </c>
      <c r="FL209" s="775">
        <f t="shared" si="368"/>
        <v>21.087774689007688</v>
      </c>
      <c r="FM209" s="775">
        <v>69</v>
      </c>
      <c r="FN209" s="775">
        <f t="shared" si="393"/>
        <v>15.5</v>
      </c>
      <c r="FO209" s="673">
        <f t="shared" si="312"/>
        <v>36.587774689007688</v>
      </c>
      <c r="FP209" s="673">
        <f t="shared" si="369"/>
        <v>24.403675819467587</v>
      </c>
      <c r="FQ209" s="775" t="b">
        <f t="shared" si="370"/>
        <v>1</v>
      </c>
      <c r="FR209" s="673"/>
      <c r="FS209" s="775">
        <f t="shared" si="371"/>
        <v>36.587774689007688</v>
      </c>
      <c r="FT209" s="775">
        <f t="shared" si="372"/>
        <v>0.1275332937785616</v>
      </c>
      <c r="FU209" s="775">
        <f t="shared" si="373"/>
        <v>1.5023490103510097E-2</v>
      </c>
      <c r="FV209" s="775">
        <f t="shared" si="374"/>
        <v>1.4840900346212189</v>
      </c>
      <c r="FW209" s="775">
        <f t="shared" si="375"/>
        <v>0.82942917864657606</v>
      </c>
      <c r="FX209" s="775">
        <f t="shared" si="376"/>
        <v>40.836579025264555</v>
      </c>
      <c r="FY209" s="775">
        <f t="shared" si="377"/>
        <v>69.704776390829352</v>
      </c>
      <c r="FZ209" s="775">
        <f t="shared" si="378"/>
        <v>25.817670683081786</v>
      </c>
      <c r="GA209" s="775">
        <f t="shared" si="379"/>
        <v>39.971727415545637</v>
      </c>
      <c r="GB209" s="775">
        <f t="shared" si="380"/>
        <v>179.05674446510048</v>
      </c>
      <c r="GC209" s="775">
        <f t="shared" si="381"/>
        <v>7.2914132513602103</v>
      </c>
      <c r="GD209" s="775">
        <f t="shared" si="382"/>
        <v>3.2426592013302646</v>
      </c>
      <c r="GE209" s="775">
        <f t="shared" si="383"/>
        <v>1.4739360006046656</v>
      </c>
      <c r="GF209" s="775">
        <f t="shared" si="384"/>
        <v>37.096613976882608</v>
      </c>
      <c r="GG209" s="775">
        <f t="shared" si="385"/>
        <v>36.587774689007688</v>
      </c>
    </row>
    <row r="210" spans="70:189">
      <c r="BR210" s="775"/>
      <c r="BS210" s="775"/>
      <c r="BT210" s="775"/>
      <c r="BU210" s="775"/>
      <c r="BV210" s="775"/>
      <c r="BW210" s="775"/>
      <c r="BX210" s="775"/>
      <c r="BY210" s="775" t="b">
        <f t="shared" si="386"/>
        <v>0</v>
      </c>
      <c r="BZ210" s="775">
        <f t="shared" si="313"/>
        <v>29.811994154527603</v>
      </c>
      <c r="CA210" s="775">
        <v>70</v>
      </c>
      <c r="CB210" s="775">
        <f t="shared" si="394"/>
        <v>35</v>
      </c>
      <c r="CC210" s="673">
        <f t="shared" si="314"/>
        <v>5.1880058454723974</v>
      </c>
      <c r="CD210" s="91">
        <f t="shared" si="315"/>
        <v>2</v>
      </c>
      <c r="CE210" s="775" t="b">
        <f t="shared" si="316"/>
        <v>0</v>
      </c>
      <c r="CF210" s="673"/>
      <c r="CG210" s="775">
        <f t="shared" si="317"/>
        <v>5.1880058454723974</v>
      </c>
      <c r="CH210" s="775">
        <f t="shared" si="318"/>
        <v>3.6875728935732634E-2</v>
      </c>
      <c r="CI210" s="775">
        <f t="shared" si="319"/>
        <v>2.4663944406762691E-3</v>
      </c>
      <c r="CJ210" s="775">
        <f t="shared" si="320"/>
        <v>5.2535269666061799</v>
      </c>
      <c r="CK210" s="775">
        <f t="shared" si="321"/>
        <v>2.600961304939418</v>
      </c>
      <c r="CL210" s="775">
        <f t="shared" si="322"/>
        <v>4.5639916604492479</v>
      </c>
      <c r="CM210" s="775">
        <f t="shared" si="323"/>
        <v>8.9745847367180964</v>
      </c>
      <c r="CN210" s="775">
        <f t="shared" si="324"/>
        <v>2.4753530335013711</v>
      </c>
      <c r="CO210" s="775">
        <f t="shared" si="325"/>
        <v>3.5219517645836884</v>
      </c>
      <c r="CP210" s="775">
        <f t="shared" si="326"/>
        <v>46.094661169665791</v>
      </c>
      <c r="CQ210" s="775">
        <f t="shared" si="327"/>
        <v>7.4722454348863439</v>
      </c>
      <c r="CR210" s="775">
        <f t="shared" si="387"/>
        <v>30.784476205973778</v>
      </c>
      <c r="CS210" s="775">
        <f t="shared" si="328"/>
        <v>13.992943729988079</v>
      </c>
      <c r="CT210" s="775">
        <f t="shared" si="329"/>
        <v>5.1880058454723974</v>
      </c>
      <c r="CU210" s="775">
        <f t="shared" si="330"/>
        <v>3.7859079610178559</v>
      </c>
      <c r="CV210" s="775"/>
      <c r="CW210" s="775"/>
      <c r="CX210" s="775"/>
      <c r="CY210" s="775"/>
      <c r="CZ210" s="775"/>
      <c r="DA210" s="775"/>
      <c r="DB210" s="775"/>
      <c r="DC210" s="775"/>
      <c r="DD210" s="775" t="b">
        <f t="shared" si="388"/>
        <v>0</v>
      </c>
      <c r="DE210" s="775">
        <f t="shared" si="331"/>
        <v>16.180721744688164</v>
      </c>
      <c r="DF210" s="776">
        <v>71</v>
      </c>
      <c r="DG210" s="775">
        <f t="shared" si="389"/>
        <v>15</v>
      </c>
      <c r="DH210" s="673">
        <f t="shared" si="332"/>
        <v>31.180721744688164</v>
      </c>
      <c r="DI210" s="673">
        <f t="shared" si="333"/>
        <v>19</v>
      </c>
      <c r="DJ210" s="775" t="b">
        <f t="shared" si="334"/>
        <v>1</v>
      </c>
      <c r="DK210" s="673"/>
      <c r="DL210" s="775">
        <f t="shared" si="335"/>
        <v>31.180721744688164</v>
      </c>
      <c r="DM210" s="775">
        <f t="shared" si="336"/>
        <v>0.13116792025289087</v>
      </c>
      <c r="DN210" s="775">
        <f t="shared" si="337"/>
        <v>1.54516510428947E-2</v>
      </c>
      <c r="DO210" s="775">
        <f t="shared" si="338"/>
        <v>1.4736146644825947</v>
      </c>
      <c r="DP210" s="775">
        <f t="shared" si="339"/>
        <v>0.82614382491818472</v>
      </c>
      <c r="DQ210" s="775">
        <f t="shared" si="340"/>
        <v>31.571607340833658</v>
      </c>
      <c r="DR210" s="775">
        <f t="shared" si="341"/>
        <v>53.890210260520696</v>
      </c>
      <c r="DS210" s="775">
        <f t="shared" si="342"/>
        <v>25.664330968352079</v>
      </c>
      <c r="DT210" s="775">
        <f t="shared" si="343"/>
        <v>39.751511228593323</v>
      </c>
      <c r="DU210" s="775">
        <f t="shared" si="344"/>
        <v>184.15976003505878</v>
      </c>
      <c r="DV210" s="775">
        <f t="shared" si="345"/>
        <v>7.4992143898196639</v>
      </c>
      <c r="DW210" s="775">
        <f t="shared" si="346"/>
        <v>8.6545551519864166</v>
      </c>
      <c r="DX210" s="775">
        <f t="shared" si="347"/>
        <v>3.9338887054483709</v>
      </c>
      <c r="DY210" s="775">
        <f t="shared" si="348"/>
        <v>31.180721744688164</v>
      </c>
      <c r="DZ210" s="775">
        <f t="shared" si="349"/>
        <v>36.456891849933641</v>
      </c>
      <c r="EA210" s="775"/>
      <c r="EB210" s="775"/>
      <c r="EC210" s="775"/>
      <c r="ED210" s="775"/>
      <c r="EE210" s="775"/>
      <c r="EF210" s="775" t="b">
        <f t="shared" si="390"/>
        <v>0</v>
      </c>
      <c r="EG210" s="775">
        <f t="shared" si="350"/>
        <v>29.811994154527603</v>
      </c>
      <c r="EH210" s="775">
        <v>70</v>
      </c>
      <c r="EI210" s="775">
        <f t="shared" si="395"/>
        <v>35</v>
      </c>
      <c r="EJ210" s="673">
        <f t="shared" si="351"/>
        <v>5.1880058454723974</v>
      </c>
      <c r="EK210" s="673">
        <f t="shared" si="352"/>
        <v>2.2510196371999172</v>
      </c>
      <c r="EL210" s="775" t="b">
        <f t="shared" si="353"/>
        <v>0</v>
      </c>
      <c r="EM210" s="673"/>
      <c r="EN210" s="775">
        <f t="shared" si="354"/>
        <v>5.1880058454723974</v>
      </c>
      <c r="EO210" s="775">
        <f t="shared" si="355"/>
        <v>3.6875728935732634E-2</v>
      </c>
      <c r="EP210" s="775">
        <f t="shared" si="356"/>
        <v>2.4663944406762691E-3</v>
      </c>
      <c r="EQ210" s="775">
        <f t="shared" si="357"/>
        <v>5.2535269666061799</v>
      </c>
      <c r="ER210" s="775">
        <f t="shared" si="358"/>
        <v>2.600961304939418</v>
      </c>
      <c r="ES210" s="775">
        <f t="shared" si="359"/>
        <v>4.5639916604492479</v>
      </c>
      <c r="ET210" s="775">
        <f t="shared" si="360"/>
        <v>8.9745847367180964</v>
      </c>
      <c r="EU210" s="775">
        <f t="shared" si="361"/>
        <v>2.4753530335013711</v>
      </c>
      <c r="EV210" s="775">
        <f t="shared" si="362"/>
        <v>3.5219517645836884</v>
      </c>
      <c r="EW210" s="775">
        <f t="shared" si="363"/>
        <v>46.094661169665791</v>
      </c>
      <c r="EX210" s="775">
        <f t="shared" si="364"/>
        <v>7.4722454348863439</v>
      </c>
      <c r="EY210" s="775">
        <f t="shared" si="391"/>
        <v>30.784476205973778</v>
      </c>
      <c r="EZ210" s="775">
        <f t="shared" si="365"/>
        <v>13.992943729988079</v>
      </c>
      <c r="FA210" s="775">
        <f t="shared" si="366"/>
        <v>5.1880058454723974</v>
      </c>
      <c r="FB210" s="775">
        <f t="shared" si="367"/>
        <v>3.7859079610178559</v>
      </c>
      <c r="FC210" s="775"/>
      <c r="FD210" s="775"/>
      <c r="FE210" s="775"/>
      <c r="FF210" s="775"/>
      <c r="FG210" s="775"/>
      <c r="FH210" s="775"/>
      <c r="FI210" s="775"/>
      <c r="FJ210" s="775"/>
      <c r="FK210" s="775" t="b">
        <f t="shared" si="392"/>
        <v>0</v>
      </c>
      <c r="FL210" s="775">
        <f t="shared" si="368"/>
        <v>21.456891849933641</v>
      </c>
      <c r="FM210" s="775">
        <v>70</v>
      </c>
      <c r="FN210" s="775">
        <f t="shared" si="393"/>
        <v>15</v>
      </c>
      <c r="FO210" s="673">
        <f t="shared" si="312"/>
        <v>36.456891849933641</v>
      </c>
      <c r="FP210" s="673">
        <f t="shared" si="369"/>
        <v>24.403675819467587</v>
      </c>
      <c r="FQ210" s="775" t="b">
        <f t="shared" si="370"/>
        <v>1</v>
      </c>
      <c r="FR210" s="673"/>
      <c r="FS210" s="775">
        <f t="shared" si="371"/>
        <v>36.456891849933641</v>
      </c>
      <c r="FT210" s="775">
        <f t="shared" si="372"/>
        <v>0.13116792025289087</v>
      </c>
      <c r="FU210" s="775">
        <f t="shared" si="373"/>
        <v>1.54516510428947E-2</v>
      </c>
      <c r="FV210" s="775">
        <f t="shared" si="374"/>
        <v>1.4736146644825947</v>
      </c>
      <c r="FW210" s="775">
        <f t="shared" si="375"/>
        <v>0.82614382491818472</v>
      </c>
      <c r="FX210" s="775">
        <f t="shared" si="376"/>
        <v>40.550698455011982</v>
      </c>
      <c r="FY210" s="775">
        <f t="shared" si="377"/>
        <v>69.216801107404891</v>
      </c>
      <c r="FZ210" s="775">
        <f t="shared" si="378"/>
        <v>25.664330968352079</v>
      </c>
      <c r="GA210" s="775">
        <f t="shared" si="379"/>
        <v>39.751511228593323</v>
      </c>
      <c r="GB210" s="775">
        <f t="shared" si="380"/>
        <v>184.15976003505878</v>
      </c>
      <c r="GC210" s="775">
        <f t="shared" si="381"/>
        <v>7.4992143898196639</v>
      </c>
      <c r="GD210" s="775">
        <f t="shared" si="382"/>
        <v>3.1528060195640268</v>
      </c>
      <c r="GE210" s="775">
        <f t="shared" si="383"/>
        <v>1.4330936452563756</v>
      </c>
      <c r="GF210" s="775">
        <f t="shared" si="384"/>
        <v>36.929320814229975</v>
      </c>
      <c r="GG210" s="775">
        <f t="shared" si="385"/>
        <v>36.456891849933641</v>
      </c>
    </row>
    <row r="211" spans="70:189">
      <c r="BR211" s="775"/>
      <c r="BS211" s="775"/>
      <c r="BT211" s="775"/>
      <c r="BU211" s="775"/>
      <c r="BV211" s="775"/>
      <c r="BW211" s="775"/>
      <c r="BX211" s="775"/>
      <c r="BY211" s="775" t="b">
        <f t="shared" si="386"/>
        <v>0</v>
      </c>
      <c r="BZ211" s="775">
        <f t="shared" si="313"/>
        <v>30.29093184253335</v>
      </c>
      <c r="CA211" s="775">
        <v>71</v>
      </c>
      <c r="CB211" s="775">
        <f t="shared" si="394"/>
        <v>35.5</v>
      </c>
      <c r="CC211" s="673">
        <f t="shared" si="314"/>
        <v>5.2090681574666498</v>
      </c>
      <c r="CD211" s="91">
        <f t="shared" si="315"/>
        <v>2</v>
      </c>
      <c r="CE211" s="775" t="b">
        <f t="shared" si="316"/>
        <v>0</v>
      </c>
      <c r="CF211" s="673"/>
      <c r="CG211" s="775">
        <f t="shared" si="317"/>
        <v>5.2090681574666498</v>
      </c>
      <c r="CH211" s="775">
        <f t="shared" si="318"/>
        <v>3.6366667966784227E-2</v>
      </c>
      <c r="CI211" s="775">
        <f t="shared" si="319"/>
        <v>2.4323464318635403E-3</v>
      </c>
      <c r="CJ211" s="775">
        <f t="shared" si="320"/>
        <v>5.258002401879331</v>
      </c>
      <c r="CK211" s="775">
        <f t="shared" si="321"/>
        <v>2.602037500922139</v>
      </c>
      <c r="CL211" s="775">
        <f t="shared" si="322"/>
        <v>4.5798801988387243</v>
      </c>
      <c r="CM211" s="775">
        <f t="shared" si="323"/>
        <v>9.0058277898889951</v>
      </c>
      <c r="CN211" s="775">
        <f t="shared" si="324"/>
        <v>2.4799087491731129</v>
      </c>
      <c r="CO211" s="775">
        <f t="shared" si="325"/>
        <v>3.5282636683542137</v>
      </c>
      <c r="CP211" s="775">
        <f t="shared" si="326"/>
        <v>45.458334958480286</v>
      </c>
      <c r="CQ211" s="775">
        <f t="shared" si="327"/>
        <v>7.3690928027598606</v>
      </c>
      <c r="CR211" s="775">
        <f t="shared" si="387"/>
        <v>31.215397600815216</v>
      </c>
      <c r="CS211" s="775">
        <f t="shared" si="328"/>
        <v>14.188817091279642</v>
      </c>
      <c r="CT211" s="775">
        <f t="shared" si="329"/>
        <v>5.2090681574666498</v>
      </c>
      <c r="CU211" s="775">
        <f t="shared" si="330"/>
        <v>3.7945256508820608</v>
      </c>
      <c r="CV211" s="775"/>
      <c r="CW211" s="775"/>
      <c r="CX211" s="775"/>
      <c r="CY211" s="775"/>
      <c r="CZ211" s="775"/>
      <c r="DA211" s="775"/>
      <c r="DB211" s="775"/>
      <c r="DC211" s="775"/>
      <c r="DD211" s="775" t="b">
        <f t="shared" si="388"/>
        <v>0</v>
      </c>
      <c r="DE211" s="775">
        <f t="shared" si="331"/>
        <v>16.520735915632201</v>
      </c>
      <c r="DF211" s="776">
        <v>72</v>
      </c>
      <c r="DG211" s="775">
        <f t="shared" si="389"/>
        <v>14.5</v>
      </c>
      <c r="DH211" s="673">
        <f t="shared" si="332"/>
        <v>31.020735915632201</v>
      </c>
      <c r="DI211" s="673">
        <f t="shared" si="333"/>
        <v>19</v>
      </c>
      <c r="DJ211" s="775" t="b">
        <f t="shared" si="334"/>
        <v>1</v>
      </c>
      <c r="DK211" s="673"/>
      <c r="DL211" s="775">
        <f t="shared" si="335"/>
        <v>31.020735915632201</v>
      </c>
      <c r="DM211" s="775">
        <f t="shared" si="336"/>
        <v>0.13503472480369336</v>
      </c>
      <c r="DN211" s="775">
        <f t="shared" si="337"/>
        <v>1.5907162683659323E-2</v>
      </c>
      <c r="DO211" s="775">
        <f t="shared" si="338"/>
        <v>1.4626787033301725</v>
      </c>
      <c r="DP211" s="775">
        <f t="shared" si="339"/>
        <v>0.82269111003460416</v>
      </c>
      <c r="DQ211" s="775">
        <f t="shared" si="340"/>
        <v>31.343120693307633</v>
      </c>
      <c r="DR211" s="775">
        <f t="shared" si="341"/>
        <v>53.500201815782027</v>
      </c>
      <c r="DS211" s="775">
        <f t="shared" si="342"/>
        <v>25.506609975941185</v>
      </c>
      <c r="DT211" s="775">
        <f t="shared" si="343"/>
        <v>39.52485341990424</v>
      </c>
      <c r="DU211" s="775">
        <f t="shared" si="344"/>
        <v>189.58875362438548</v>
      </c>
      <c r="DV211" s="775">
        <f t="shared" si="345"/>
        <v>7.7202897585080619</v>
      </c>
      <c r="DW211" s="775">
        <f t="shared" si="346"/>
        <v>8.4067265042402699</v>
      </c>
      <c r="DX211" s="775">
        <f t="shared" si="347"/>
        <v>3.8212393201092132</v>
      </c>
      <c r="DY211" s="775">
        <f t="shared" si="348"/>
        <v>31.020735915632201</v>
      </c>
      <c r="DZ211" s="775">
        <f t="shared" si="349"/>
        <v>36.321615087769906</v>
      </c>
      <c r="EA211" s="775"/>
      <c r="EB211" s="775"/>
      <c r="EC211" s="775"/>
      <c r="ED211" s="775"/>
      <c r="EE211" s="775"/>
      <c r="EF211" s="775" t="b">
        <f t="shared" si="390"/>
        <v>0</v>
      </c>
      <c r="EG211" s="775">
        <f t="shared" si="350"/>
        <v>30.29093184253335</v>
      </c>
      <c r="EH211" s="775">
        <v>71</v>
      </c>
      <c r="EI211" s="775">
        <f t="shared" si="395"/>
        <v>35.5</v>
      </c>
      <c r="EJ211" s="673">
        <f t="shared" si="351"/>
        <v>5.2090681574666498</v>
      </c>
      <c r="EK211" s="673">
        <f t="shared" si="352"/>
        <v>2.2510196371999172</v>
      </c>
      <c r="EL211" s="775" t="b">
        <f t="shared" si="353"/>
        <v>0</v>
      </c>
      <c r="EM211" s="673"/>
      <c r="EN211" s="775">
        <f t="shared" si="354"/>
        <v>5.2090681574666498</v>
      </c>
      <c r="EO211" s="775">
        <f t="shared" si="355"/>
        <v>3.6366667966784227E-2</v>
      </c>
      <c r="EP211" s="775">
        <f t="shared" si="356"/>
        <v>2.4323464318635403E-3</v>
      </c>
      <c r="EQ211" s="775">
        <f t="shared" si="357"/>
        <v>5.258002401879331</v>
      </c>
      <c r="ER211" s="775">
        <f t="shared" si="358"/>
        <v>2.602037500922139</v>
      </c>
      <c r="ES211" s="775">
        <f t="shared" si="359"/>
        <v>4.5798801988387243</v>
      </c>
      <c r="ET211" s="775">
        <f t="shared" si="360"/>
        <v>9.0058277898889951</v>
      </c>
      <c r="EU211" s="775">
        <f t="shared" si="361"/>
        <v>2.4799087491731129</v>
      </c>
      <c r="EV211" s="775">
        <f t="shared" si="362"/>
        <v>3.5282636683542137</v>
      </c>
      <c r="EW211" s="775">
        <f t="shared" si="363"/>
        <v>45.458334958480286</v>
      </c>
      <c r="EX211" s="775">
        <f t="shared" si="364"/>
        <v>7.3690928027598606</v>
      </c>
      <c r="EY211" s="775">
        <f t="shared" si="391"/>
        <v>31.215397600815216</v>
      </c>
      <c r="EZ211" s="775">
        <f t="shared" si="365"/>
        <v>14.188817091279642</v>
      </c>
      <c r="FA211" s="775">
        <f t="shared" si="366"/>
        <v>5.2090681574666498</v>
      </c>
      <c r="FB211" s="775">
        <f t="shared" si="367"/>
        <v>3.7945256508820608</v>
      </c>
      <c r="FC211" s="775"/>
      <c r="FD211" s="775"/>
      <c r="FE211" s="775"/>
      <c r="FF211" s="775"/>
      <c r="FG211" s="775"/>
      <c r="FH211" s="775"/>
      <c r="FI211" s="775"/>
      <c r="FJ211" s="775"/>
      <c r="FK211" s="775" t="b">
        <f t="shared" si="392"/>
        <v>0</v>
      </c>
      <c r="FL211" s="775">
        <f t="shared" si="368"/>
        <v>21.821615087769906</v>
      </c>
      <c r="FM211" s="775">
        <v>71</v>
      </c>
      <c r="FN211" s="775">
        <f t="shared" si="393"/>
        <v>14.5</v>
      </c>
      <c r="FO211" s="673">
        <f t="shared" si="312"/>
        <v>36.321615087769906</v>
      </c>
      <c r="FP211" s="673">
        <f t="shared" si="369"/>
        <v>24.403675819467587</v>
      </c>
      <c r="FQ211" s="775" t="b">
        <f t="shared" si="370"/>
        <v>1</v>
      </c>
      <c r="FR211" s="673"/>
      <c r="FS211" s="775">
        <f t="shared" si="371"/>
        <v>36.321615087769906</v>
      </c>
      <c r="FT211" s="775">
        <f t="shared" si="372"/>
        <v>0.13503472480369336</v>
      </c>
      <c r="FU211" s="775">
        <f t="shared" si="373"/>
        <v>1.5907162683659323E-2</v>
      </c>
      <c r="FV211" s="775">
        <f t="shared" si="374"/>
        <v>1.4626787033301725</v>
      </c>
      <c r="FW211" s="775">
        <f t="shared" si="375"/>
        <v>0.82269111003460416</v>
      </c>
      <c r="FX211" s="775">
        <f t="shared" si="376"/>
        <v>40.257229293153983</v>
      </c>
      <c r="FY211" s="775">
        <f t="shared" si="377"/>
        <v>68.715872704654515</v>
      </c>
      <c r="FZ211" s="775">
        <f t="shared" si="378"/>
        <v>25.506609975941185</v>
      </c>
      <c r="GA211" s="775">
        <f t="shared" si="379"/>
        <v>39.52485341990424</v>
      </c>
      <c r="GB211" s="775">
        <f t="shared" si="380"/>
        <v>189.58875362438548</v>
      </c>
      <c r="GC211" s="775">
        <f t="shared" si="381"/>
        <v>7.7202897585080619</v>
      </c>
      <c r="GD211" s="775">
        <f t="shared" si="382"/>
        <v>3.062523429793353</v>
      </c>
      <c r="GE211" s="775">
        <f t="shared" si="383"/>
        <v>1.3920561044515241</v>
      </c>
      <c r="GF211" s="775">
        <f t="shared" si="384"/>
        <v>36.756658798858581</v>
      </c>
      <c r="GG211" s="775">
        <f t="shared" si="385"/>
        <v>36.321615087769906</v>
      </c>
    </row>
    <row r="212" spans="70:189">
      <c r="BR212" s="775"/>
      <c r="BS212" s="775"/>
      <c r="BT212" s="775"/>
      <c r="BU212" s="775"/>
      <c r="BV212" s="775"/>
      <c r="BW212" s="775"/>
      <c r="BX212" s="775"/>
      <c r="BY212" s="775" t="b">
        <f t="shared" si="386"/>
        <v>0</v>
      </c>
      <c r="BZ212" s="775">
        <f t="shared" si="313"/>
        <v>30.770101534402642</v>
      </c>
      <c r="CA212" s="775">
        <v>72</v>
      </c>
      <c r="CB212" s="775">
        <f t="shared" si="394"/>
        <v>36</v>
      </c>
      <c r="CC212" s="673">
        <f t="shared" si="314"/>
        <v>5.2298984655973602</v>
      </c>
      <c r="CD212" s="91">
        <f t="shared" si="315"/>
        <v>2</v>
      </c>
      <c r="CE212" s="775" t="b">
        <f t="shared" si="316"/>
        <v>0</v>
      </c>
      <c r="CF212" s="673"/>
      <c r="CG212" s="775">
        <f t="shared" si="317"/>
        <v>5.2298984655973602</v>
      </c>
      <c r="CH212" s="775">
        <f t="shared" si="318"/>
        <v>3.5871608132687971E-2</v>
      </c>
      <c r="CI212" s="775">
        <f t="shared" si="319"/>
        <v>2.3992348742657198E-3</v>
      </c>
      <c r="CJ212" s="775">
        <f t="shared" si="320"/>
        <v>5.2623642656459664</v>
      </c>
      <c r="CK212" s="775">
        <f t="shared" si="321"/>
        <v>2.6030853796927333</v>
      </c>
      <c r="CL212" s="775">
        <f t="shared" si="322"/>
        <v>4.5956006691742157</v>
      </c>
      <c r="CM212" s="775">
        <f t="shared" si="323"/>
        <v>9.0367403558232287</v>
      </c>
      <c r="CN212" s="775">
        <f t="shared" si="324"/>
        <v>2.484408151904772</v>
      </c>
      <c r="CO212" s="775">
        <f t="shared" si="325"/>
        <v>3.5344977502029034</v>
      </c>
      <c r="CP212" s="775">
        <f t="shared" si="326"/>
        <v>44.839510165859963</v>
      </c>
      <c r="CQ212" s="775">
        <f t="shared" si="327"/>
        <v>7.2687772648143358</v>
      </c>
      <c r="CR212" s="775">
        <f t="shared" si="387"/>
        <v>31.646197622390673</v>
      </c>
      <c r="CS212" s="775">
        <f t="shared" si="328"/>
        <v>14.384635282904851</v>
      </c>
      <c r="CT212" s="775">
        <f t="shared" si="329"/>
        <v>5.2298984655973602</v>
      </c>
      <c r="CU212" s="775">
        <f t="shared" si="330"/>
        <v>3.8030355747196243</v>
      </c>
      <c r="CV212" s="775"/>
      <c r="CW212" s="775"/>
      <c r="CX212" s="775"/>
      <c r="CY212" s="775"/>
      <c r="CZ212" s="775"/>
      <c r="DA212" s="775"/>
      <c r="DB212" s="775"/>
      <c r="DC212" s="775"/>
      <c r="DD212" s="775" t="b">
        <f t="shared" si="388"/>
        <v>0</v>
      </c>
      <c r="DE212" s="775">
        <f t="shared" si="331"/>
        <v>16.855578173791521</v>
      </c>
      <c r="DF212" s="776">
        <v>73</v>
      </c>
      <c r="DG212" s="775">
        <f t="shared" si="389"/>
        <v>14</v>
      </c>
      <c r="DH212" s="673">
        <f t="shared" si="332"/>
        <v>30.855578173791521</v>
      </c>
      <c r="DI212" s="673">
        <f t="shared" si="333"/>
        <v>19</v>
      </c>
      <c r="DJ212" s="775" t="b">
        <f t="shared" si="334"/>
        <v>1</v>
      </c>
      <c r="DK212" s="673"/>
      <c r="DL212" s="775">
        <f t="shared" si="335"/>
        <v>30.855578173791521</v>
      </c>
      <c r="DM212" s="775">
        <f t="shared" si="336"/>
        <v>0.13915733885839107</v>
      </c>
      <c r="DN212" s="775">
        <f t="shared" si="337"/>
        <v>1.6392808820572272E-2</v>
      </c>
      <c r="DO212" s="775">
        <f t="shared" si="338"/>
        <v>1.4512487997509307</v>
      </c>
      <c r="DP212" s="775">
        <f t="shared" si="339"/>
        <v>0.81905724364206245</v>
      </c>
      <c r="DQ212" s="775">
        <f t="shared" si="340"/>
        <v>31.108356850531017</v>
      </c>
      <c r="DR212" s="775">
        <f t="shared" si="341"/>
        <v>53.099478700477192</v>
      </c>
      <c r="DS212" s="775">
        <f t="shared" si="342"/>
        <v>25.344226247362332</v>
      </c>
      <c r="DT212" s="775">
        <f t="shared" si="343"/>
        <v>39.291335510260062</v>
      </c>
      <c r="DU212" s="775">
        <f t="shared" si="344"/>
        <v>195.37690375718105</v>
      </c>
      <c r="DV212" s="775">
        <f t="shared" si="345"/>
        <v>7.9559904281767988</v>
      </c>
      <c r="DW212" s="775">
        <f t="shared" si="346"/>
        <v>8.1576725260260918</v>
      </c>
      <c r="DX212" s="775">
        <f t="shared" si="347"/>
        <v>3.7080329663754958</v>
      </c>
      <c r="DY212" s="775">
        <f t="shared" si="348"/>
        <v>30.855578173791521</v>
      </c>
      <c r="DZ212" s="775">
        <f t="shared" si="349"/>
        <v>36.181640276014257</v>
      </c>
      <c r="EA212" s="775"/>
      <c r="EB212" s="775"/>
      <c r="EC212" s="775"/>
      <c r="ED212" s="775"/>
      <c r="EE212" s="775"/>
      <c r="EF212" s="775" t="b">
        <f t="shared" si="390"/>
        <v>0</v>
      </c>
      <c r="EG212" s="775">
        <f t="shared" si="350"/>
        <v>30.770101534402642</v>
      </c>
      <c r="EH212" s="775">
        <v>72</v>
      </c>
      <c r="EI212" s="775">
        <f t="shared" si="395"/>
        <v>36</v>
      </c>
      <c r="EJ212" s="673">
        <f t="shared" si="351"/>
        <v>5.2298984655973602</v>
      </c>
      <c r="EK212" s="673">
        <f t="shared" si="352"/>
        <v>2.2510196371999172</v>
      </c>
      <c r="EL212" s="775" t="b">
        <f t="shared" si="353"/>
        <v>0</v>
      </c>
      <c r="EM212" s="673"/>
      <c r="EN212" s="775">
        <f t="shared" si="354"/>
        <v>5.2298984655973602</v>
      </c>
      <c r="EO212" s="775">
        <f t="shared" si="355"/>
        <v>3.5871608132687971E-2</v>
      </c>
      <c r="EP212" s="775">
        <f t="shared" si="356"/>
        <v>2.3992348742657198E-3</v>
      </c>
      <c r="EQ212" s="775">
        <f t="shared" si="357"/>
        <v>5.2623642656459664</v>
      </c>
      <c r="ER212" s="775">
        <f t="shared" si="358"/>
        <v>2.6030853796927333</v>
      </c>
      <c r="ES212" s="775">
        <f t="shared" si="359"/>
        <v>4.5956006691742157</v>
      </c>
      <c r="ET212" s="775">
        <f t="shared" si="360"/>
        <v>9.0367403558232287</v>
      </c>
      <c r="EU212" s="775">
        <f t="shared" si="361"/>
        <v>2.484408151904772</v>
      </c>
      <c r="EV212" s="775">
        <f t="shared" si="362"/>
        <v>3.5344977502029034</v>
      </c>
      <c r="EW212" s="775">
        <f t="shared" si="363"/>
        <v>44.839510165859963</v>
      </c>
      <c r="EX212" s="775">
        <f t="shared" si="364"/>
        <v>7.2687772648143358</v>
      </c>
      <c r="EY212" s="775">
        <f t="shared" si="391"/>
        <v>31.646197622390673</v>
      </c>
      <c r="EZ212" s="775">
        <f t="shared" si="365"/>
        <v>14.384635282904851</v>
      </c>
      <c r="FA212" s="775">
        <f t="shared" si="366"/>
        <v>5.2298984655973602</v>
      </c>
      <c r="FB212" s="775">
        <f t="shared" si="367"/>
        <v>3.8030355747196243</v>
      </c>
      <c r="FC212" s="775"/>
      <c r="FD212" s="775"/>
      <c r="FE212" s="775"/>
      <c r="FF212" s="775"/>
      <c r="FG212" s="775"/>
      <c r="FH212" s="775"/>
      <c r="FI212" s="775"/>
      <c r="FJ212" s="775"/>
      <c r="FK212" s="775" t="b">
        <f t="shared" si="392"/>
        <v>0</v>
      </c>
      <c r="FL212" s="775">
        <f t="shared" si="368"/>
        <v>22.181640276014257</v>
      </c>
      <c r="FM212" s="775">
        <v>72</v>
      </c>
      <c r="FN212" s="775">
        <f t="shared" si="393"/>
        <v>14</v>
      </c>
      <c r="FO212" s="673">
        <f t="shared" si="312"/>
        <v>36.181640276014257</v>
      </c>
      <c r="FP212" s="673">
        <f t="shared" si="369"/>
        <v>24.403675819467587</v>
      </c>
      <c r="FQ212" s="775" t="b">
        <f t="shared" si="370"/>
        <v>1</v>
      </c>
      <c r="FR212" s="673"/>
      <c r="FS212" s="775">
        <f t="shared" si="371"/>
        <v>36.181640276014257</v>
      </c>
      <c r="FT212" s="775">
        <f t="shared" si="372"/>
        <v>0.13915733885839107</v>
      </c>
      <c r="FU212" s="775">
        <f t="shared" si="373"/>
        <v>1.6392808820572272E-2</v>
      </c>
      <c r="FV212" s="775">
        <f t="shared" si="374"/>
        <v>1.4512487997509307</v>
      </c>
      <c r="FW212" s="775">
        <f t="shared" si="375"/>
        <v>0.81905724364206245</v>
      </c>
      <c r="FX212" s="775">
        <f t="shared" si="376"/>
        <v>39.955697676666979</v>
      </c>
      <c r="FY212" s="775">
        <f t="shared" si="377"/>
        <v>68.201182336272069</v>
      </c>
      <c r="FZ212" s="775">
        <f t="shared" si="378"/>
        <v>25.344226247362332</v>
      </c>
      <c r="GA212" s="775">
        <f t="shared" si="379"/>
        <v>39.291335510260062</v>
      </c>
      <c r="GB212" s="775">
        <f t="shared" si="380"/>
        <v>195.37690375718105</v>
      </c>
      <c r="GC212" s="775">
        <f t="shared" si="381"/>
        <v>7.9559904281767988</v>
      </c>
      <c r="GD212" s="775">
        <f t="shared" si="382"/>
        <v>2.9717944589889087</v>
      </c>
      <c r="GE212" s="775">
        <f t="shared" si="383"/>
        <v>1.3508156631767765</v>
      </c>
      <c r="GF212" s="775">
        <f t="shared" si="384"/>
        <v>36.578265804439951</v>
      </c>
      <c r="GG212" s="775">
        <f t="shared" si="385"/>
        <v>36.181640276014257</v>
      </c>
    </row>
    <row r="213" spans="70:189">
      <c r="BR213" s="775"/>
      <c r="BS213" s="775"/>
      <c r="BT213" s="775"/>
      <c r="BU213" s="775"/>
      <c r="BV213" s="775"/>
      <c r="BW213" s="775"/>
      <c r="BX213" s="775"/>
      <c r="BY213" s="775" t="b">
        <f t="shared" si="386"/>
        <v>0</v>
      </c>
      <c r="BZ213" s="775">
        <f t="shared" si="313"/>
        <v>31.249497533734953</v>
      </c>
      <c r="CA213" s="775">
        <v>73</v>
      </c>
      <c r="CB213" s="775">
        <f t="shared" si="394"/>
        <v>36.5</v>
      </c>
      <c r="CC213" s="673">
        <f t="shared" si="314"/>
        <v>5.2505024662650479</v>
      </c>
      <c r="CD213" s="91">
        <f t="shared" si="315"/>
        <v>2</v>
      </c>
      <c r="CE213" s="775" t="b">
        <f t="shared" si="316"/>
        <v>0</v>
      </c>
      <c r="CF213" s="673"/>
      <c r="CG213" s="775">
        <f t="shared" si="317"/>
        <v>5.2505024662650479</v>
      </c>
      <c r="CH213" s="775">
        <f t="shared" si="318"/>
        <v>3.538997780123531E-2</v>
      </c>
      <c r="CI213" s="775">
        <f t="shared" si="319"/>
        <v>2.3670215348622825E-3</v>
      </c>
      <c r="CJ213" s="775">
        <f t="shared" si="320"/>
        <v>5.2666168453547542</v>
      </c>
      <c r="CK213" s="775">
        <f t="shared" si="321"/>
        <v>2.6041060485230063</v>
      </c>
      <c r="CL213" s="775">
        <f t="shared" si="322"/>
        <v>4.6111571469726895</v>
      </c>
      <c r="CM213" s="775">
        <f t="shared" si="323"/>
        <v>9.0673304485740864</v>
      </c>
      <c r="CN213" s="775">
        <f t="shared" si="324"/>
        <v>2.488852706389836</v>
      </c>
      <c r="CO213" s="775">
        <f t="shared" si="325"/>
        <v>3.5406560315541036</v>
      </c>
      <c r="CP213" s="775">
        <f t="shared" si="326"/>
        <v>44.237472251544141</v>
      </c>
      <c r="CQ213" s="775">
        <f t="shared" si="327"/>
        <v>7.1711829894097185</v>
      </c>
      <c r="CR213" s="775">
        <f t="shared" si="387"/>
        <v>32.076877990027306</v>
      </c>
      <c r="CS213" s="775">
        <f t="shared" si="328"/>
        <v>14.580399086376048</v>
      </c>
      <c r="CT213" s="775">
        <f t="shared" si="329"/>
        <v>5.2505024662650479</v>
      </c>
      <c r="CU213" s="775">
        <f t="shared" si="330"/>
        <v>3.8114405479621092</v>
      </c>
      <c r="CV213" s="775"/>
      <c r="CW213" s="775"/>
      <c r="CX213" s="775"/>
      <c r="CY213" s="775"/>
      <c r="CZ213" s="775"/>
      <c r="DA213" s="775"/>
      <c r="DB213" s="775"/>
      <c r="DC213" s="775"/>
      <c r="DD213" s="775" t="b">
        <f t="shared" si="388"/>
        <v>0</v>
      </c>
      <c r="DE213" s="775">
        <f t="shared" si="331"/>
        <v>17.184891629390545</v>
      </c>
      <c r="DF213" s="776">
        <v>74</v>
      </c>
      <c r="DG213" s="775">
        <f t="shared" si="389"/>
        <v>13.5</v>
      </c>
      <c r="DH213" s="673">
        <f t="shared" si="332"/>
        <v>30.684891629390545</v>
      </c>
      <c r="DI213" s="673">
        <f t="shared" si="333"/>
        <v>19</v>
      </c>
      <c r="DJ213" s="775" t="b">
        <f t="shared" si="334"/>
        <v>1</v>
      </c>
      <c r="DK213" s="673"/>
      <c r="DL213" s="775">
        <f t="shared" si="335"/>
        <v>30.684891629390545</v>
      </c>
      <c r="DM213" s="775">
        <f t="shared" si="336"/>
        <v>0.14356276097020546</v>
      </c>
      <c r="DN213" s="775">
        <f t="shared" si="337"/>
        <v>1.6911769897618913E-2</v>
      </c>
      <c r="DO213" s="775">
        <f t="shared" si="338"/>
        <v>1.4392881254574317</v>
      </c>
      <c r="DP213" s="775">
        <f t="shared" si="339"/>
        <v>0.8152268257201456</v>
      </c>
      <c r="DQ213" s="775">
        <f t="shared" si="340"/>
        <v>30.866909630331239</v>
      </c>
      <c r="DR213" s="775">
        <f t="shared" si="341"/>
        <v>52.687347594103166</v>
      </c>
      <c r="DS213" s="775">
        <f t="shared" si="342"/>
        <v>25.176869421044191</v>
      </c>
      <c r="DT213" s="775">
        <f t="shared" si="343"/>
        <v>39.050495733011687</v>
      </c>
      <c r="DU213" s="775">
        <f t="shared" si="344"/>
        <v>201.56211640216847</v>
      </c>
      <c r="DV213" s="775">
        <f t="shared" si="345"/>
        <v>8.20785997699981</v>
      </c>
      <c r="DW213" s="775">
        <f t="shared" si="346"/>
        <v>7.9073430486308052</v>
      </c>
      <c r="DX213" s="775">
        <f t="shared" si="347"/>
        <v>3.5942468402867291</v>
      </c>
      <c r="DY213" s="775">
        <f t="shared" si="348"/>
        <v>30.684891629390545</v>
      </c>
      <c r="DZ213" s="775">
        <f t="shared" si="349"/>
        <v>36.036630524497838</v>
      </c>
      <c r="EA213" s="775"/>
      <c r="EB213" s="775"/>
      <c r="EC213" s="775"/>
      <c r="ED213" s="775"/>
      <c r="EE213" s="775"/>
      <c r="EF213" s="775" t="b">
        <f t="shared" si="390"/>
        <v>0</v>
      </c>
      <c r="EG213" s="775">
        <f t="shared" si="350"/>
        <v>31.249497533734953</v>
      </c>
      <c r="EH213" s="775">
        <v>73</v>
      </c>
      <c r="EI213" s="775">
        <f t="shared" si="395"/>
        <v>36.5</v>
      </c>
      <c r="EJ213" s="673">
        <f t="shared" si="351"/>
        <v>5.2505024662650479</v>
      </c>
      <c r="EK213" s="673">
        <f t="shared" si="352"/>
        <v>2.2510196371999172</v>
      </c>
      <c r="EL213" s="775" t="b">
        <f t="shared" si="353"/>
        <v>0</v>
      </c>
      <c r="EM213" s="673"/>
      <c r="EN213" s="775">
        <f t="shared" si="354"/>
        <v>5.2505024662650479</v>
      </c>
      <c r="EO213" s="775">
        <f t="shared" si="355"/>
        <v>3.538997780123531E-2</v>
      </c>
      <c r="EP213" s="775">
        <f t="shared" si="356"/>
        <v>2.3670215348622825E-3</v>
      </c>
      <c r="EQ213" s="775">
        <f t="shared" si="357"/>
        <v>5.2666168453547542</v>
      </c>
      <c r="ER213" s="775">
        <f t="shared" si="358"/>
        <v>2.6041060485230063</v>
      </c>
      <c r="ES213" s="775">
        <f t="shared" si="359"/>
        <v>4.6111571469726895</v>
      </c>
      <c r="ET213" s="775">
        <f t="shared" si="360"/>
        <v>9.0673304485740864</v>
      </c>
      <c r="EU213" s="775">
        <f t="shared" si="361"/>
        <v>2.488852706389836</v>
      </c>
      <c r="EV213" s="775">
        <f t="shared" si="362"/>
        <v>3.5406560315541036</v>
      </c>
      <c r="EW213" s="775">
        <f t="shared" si="363"/>
        <v>44.237472251544141</v>
      </c>
      <c r="EX213" s="775">
        <f t="shared" si="364"/>
        <v>7.1711829894097185</v>
      </c>
      <c r="EY213" s="775">
        <f t="shared" si="391"/>
        <v>32.076877990027306</v>
      </c>
      <c r="EZ213" s="775">
        <f t="shared" si="365"/>
        <v>14.580399086376048</v>
      </c>
      <c r="FA213" s="775">
        <f t="shared" si="366"/>
        <v>5.2505024662650479</v>
      </c>
      <c r="FB213" s="775">
        <f t="shared" si="367"/>
        <v>3.8114405479621092</v>
      </c>
      <c r="FC213" s="775"/>
      <c r="FD213" s="775"/>
      <c r="FE213" s="775"/>
      <c r="FF213" s="775"/>
      <c r="FG213" s="775"/>
      <c r="FH213" s="775"/>
      <c r="FI213" s="775"/>
      <c r="FJ213" s="775"/>
      <c r="FK213" s="775" t="b">
        <f t="shared" si="392"/>
        <v>0</v>
      </c>
      <c r="FL213" s="775">
        <f t="shared" si="368"/>
        <v>22.536630524497838</v>
      </c>
      <c r="FM213" s="775">
        <v>73</v>
      </c>
      <c r="FN213" s="775">
        <f t="shared" si="393"/>
        <v>13.5</v>
      </c>
      <c r="FO213" s="673">
        <f t="shared" si="312"/>
        <v>36.036630524497838</v>
      </c>
      <c r="FP213" s="673">
        <f t="shared" si="369"/>
        <v>24.403675819467587</v>
      </c>
      <c r="FQ213" s="775" t="b">
        <f t="shared" si="370"/>
        <v>1</v>
      </c>
      <c r="FR213" s="673"/>
      <c r="FS213" s="775">
        <f t="shared" si="371"/>
        <v>36.036630524497838</v>
      </c>
      <c r="FT213" s="775">
        <f t="shared" si="372"/>
        <v>0.14356276097020546</v>
      </c>
      <c r="FU213" s="775">
        <f t="shared" si="373"/>
        <v>1.6911769897618913E-2</v>
      </c>
      <c r="FV213" s="775">
        <f t="shared" si="374"/>
        <v>1.4392881254574317</v>
      </c>
      <c r="FW213" s="775">
        <f t="shared" si="375"/>
        <v>0.8152268257201456</v>
      </c>
      <c r="FX213" s="775">
        <f t="shared" si="376"/>
        <v>39.645581903547665</v>
      </c>
      <c r="FY213" s="775">
        <f t="shared" si="377"/>
        <v>67.6718394986368</v>
      </c>
      <c r="FZ213" s="775">
        <f t="shared" si="378"/>
        <v>25.176869421044191</v>
      </c>
      <c r="GA213" s="775">
        <f t="shared" si="379"/>
        <v>39.050495733011687</v>
      </c>
      <c r="GB213" s="775">
        <f t="shared" si="380"/>
        <v>201.56211640216847</v>
      </c>
      <c r="GC213" s="775">
        <f t="shared" si="381"/>
        <v>8.20785997699981</v>
      </c>
      <c r="GD213" s="775">
        <f t="shared" si="382"/>
        <v>2.8806008309692146</v>
      </c>
      <c r="GE213" s="775">
        <f t="shared" si="383"/>
        <v>1.3093640140769156</v>
      </c>
      <c r="GF213" s="775">
        <f t="shared" si="384"/>
        <v>36.393741388221308</v>
      </c>
      <c r="GG213" s="775">
        <f t="shared" si="385"/>
        <v>36.036630524497838</v>
      </c>
    </row>
    <row r="214" spans="70:189">
      <c r="BR214" s="775"/>
      <c r="BS214" s="775"/>
      <c r="BT214" s="775"/>
      <c r="BU214" s="775"/>
      <c r="BV214" s="775"/>
      <c r="BW214" s="775"/>
      <c r="BX214" s="775"/>
      <c r="BY214" s="775" t="b">
        <f t="shared" si="386"/>
        <v>0</v>
      </c>
      <c r="BZ214" s="775">
        <f t="shared" si="313"/>
        <v>31.729114359489692</v>
      </c>
      <c r="CA214" s="775">
        <v>74</v>
      </c>
      <c r="CB214" s="775">
        <f t="shared" si="394"/>
        <v>37</v>
      </c>
      <c r="CC214" s="673">
        <f t="shared" si="314"/>
        <v>5.2708856405103077</v>
      </c>
      <c r="CD214" s="91">
        <f t="shared" si="315"/>
        <v>2</v>
      </c>
      <c r="CE214" s="775" t="b">
        <f t="shared" si="316"/>
        <v>0</v>
      </c>
      <c r="CF214" s="673"/>
      <c r="CG214" s="775">
        <f t="shared" si="317"/>
        <v>5.2708856405103077</v>
      </c>
      <c r="CH214" s="775">
        <f t="shared" si="318"/>
        <v>3.4921236088963997E-2</v>
      </c>
      <c r="CI214" s="775">
        <f t="shared" si="319"/>
        <v>2.3356702372303384E-3</v>
      </c>
      <c r="CJ214" s="775">
        <f t="shared" si="320"/>
        <v>5.2707642147857108</v>
      </c>
      <c r="CK214" s="775">
        <f t="shared" si="321"/>
        <v>2.6051005575823925</v>
      </c>
      <c r="CL214" s="775">
        <f t="shared" si="322"/>
        <v>4.6265535547222223</v>
      </c>
      <c r="CM214" s="775">
        <f t="shared" si="323"/>
        <v>9.0976057812804658</v>
      </c>
      <c r="CN214" s="775">
        <f t="shared" si="324"/>
        <v>2.4932438197882263</v>
      </c>
      <c r="CO214" s="775">
        <f t="shared" si="325"/>
        <v>3.5467404545019789</v>
      </c>
      <c r="CP214" s="775">
        <f t="shared" si="326"/>
        <v>43.651545111204996</v>
      </c>
      <c r="CQ214" s="775">
        <f t="shared" si="327"/>
        <v>7.0762003756215428</v>
      </c>
      <c r="CR214" s="775">
        <f t="shared" si="387"/>
        <v>32.507440375478353</v>
      </c>
      <c r="CS214" s="775">
        <f t="shared" si="328"/>
        <v>14.776109261581068</v>
      </c>
      <c r="CT214" s="775">
        <f t="shared" si="329"/>
        <v>5.2708856405103077</v>
      </c>
      <c r="CU214" s="775">
        <f t="shared" si="330"/>
        <v>3.8197432751600595</v>
      </c>
      <c r="CV214" s="775"/>
      <c r="CW214" s="775"/>
      <c r="CX214" s="775"/>
      <c r="CY214" s="775"/>
      <c r="CZ214" s="775"/>
      <c r="DA214" s="775"/>
      <c r="DB214" s="775"/>
      <c r="DC214" s="775"/>
      <c r="DD214" s="775" t="b">
        <f t="shared" si="388"/>
        <v>0</v>
      </c>
      <c r="DE214" s="775">
        <f t="shared" si="331"/>
        <v>17.508280529349218</v>
      </c>
      <c r="DF214" s="776">
        <v>75</v>
      </c>
      <c r="DG214" s="775">
        <f t="shared" si="389"/>
        <v>13</v>
      </c>
      <c r="DH214" s="673">
        <f t="shared" si="332"/>
        <v>30.508280529349218</v>
      </c>
      <c r="DI214" s="673">
        <f t="shared" si="333"/>
        <v>19</v>
      </c>
      <c r="DJ214" s="775" t="b">
        <f t="shared" si="334"/>
        <v>1</v>
      </c>
      <c r="DK214" s="673"/>
      <c r="DL214" s="775">
        <f t="shared" si="335"/>
        <v>30.508280529349218</v>
      </c>
      <c r="DM214" s="775">
        <f t="shared" si="336"/>
        <v>0.14828198415720847</v>
      </c>
      <c r="DN214" s="775">
        <f t="shared" si="337"/>
        <v>1.746769690887684E-2</v>
      </c>
      <c r="DO214" s="775">
        <f t="shared" si="338"/>
        <v>1.4267558893447398</v>
      </c>
      <c r="DP214" s="775">
        <f t="shared" si="339"/>
        <v>0.81118259842770279</v>
      </c>
      <c r="DQ214" s="775">
        <f t="shared" si="340"/>
        <v>30.618330301596437</v>
      </c>
      <c r="DR214" s="775">
        <f t="shared" si="341"/>
        <v>52.263042548518371</v>
      </c>
      <c r="DS214" s="775">
        <f t="shared" si="342"/>
        <v>25.004196067359782</v>
      </c>
      <c r="DT214" s="775">
        <f t="shared" si="343"/>
        <v>38.801822762668287</v>
      </c>
      <c r="DU214" s="775">
        <f t="shared" si="344"/>
        <v>208.18790575672071</v>
      </c>
      <c r="DV214" s="775">
        <f t="shared" si="345"/>
        <v>8.4776703571942278</v>
      </c>
      <c r="DW214" s="775">
        <f t="shared" si="346"/>
        <v>7.6556839082788484</v>
      </c>
      <c r="DX214" s="775">
        <f t="shared" si="347"/>
        <v>3.479856321944931</v>
      </c>
      <c r="DY214" s="775">
        <f t="shared" si="348"/>
        <v>30.508280529349218</v>
      </c>
      <c r="DZ214" s="775">
        <f t="shared" si="349"/>
        <v>35.886211288871976</v>
      </c>
      <c r="EA214" s="775"/>
      <c r="EB214" s="775"/>
      <c r="EC214" s="775"/>
      <c r="ED214" s="775"/>
      <c r="EE214" s="775"/>
      <c r="EF214" s="775" t="b">
        <f t="shared" si="390"/>
        <v>0</v>
      </c>
      <c r="EG214" s="775">
        <f t="shared" si="350"/>
        <v>31.729114359489692</v>
      </c>
      <c r="EH214" s="775">
        <v>74</v>
      </c>
      <c r="EI214" s="775">
        <f t="shared" si="395"/>
        <v>37</v>
      </c>
      <c r="EJ214" s="673">
        <f t="shared" si="351"/>
        <v>5.2708856405103077</v>
      </c>
      <c r="EK214" s="673">
        <f t="shared" si="352"/>
        <v>2.2510196371999172</v>
      </c>
      <c r="EL214" s="775" t="b">
        <f t="shared" si="353"/>
        <v>0</v>
      </c>
      <c r="EM214" s="673"/>
      <c r="EN214" s="775">
        <f t="shared" si="354"/>
        <v>5.2708856405103077</v>
      </c>
      <c r="EO214" s="775">
        <f t="shared" si="355"/>
        <v>3.4921236088963997E-2</v>
      </c>
      <c r="EP214" s="775">
        <f t="shared" si="356"/>
        <v>2.3356702372303384E-3</v>
      </c>
      <c r="EQ214" s="775">
        <f t="shared" si="357"/>
        <v>5.2707642147857108</v>
      </c>
      <c r="ER214" s="775">
        <f t="shared" si="358"/>
        <v>2.6051005575823925</v>
      </c>
      <c r="ES214" s="775">
        <f t="shared" si="359"/>
        <v>4.6265535547222223</v>
      </c>
      <c r="ET214" s="775">
        <f t="shared" si="360"/>
        <v>9.0976057812804658</v>
      </c>
      <c r="EU214" s="775">
        <f t="shared" si="361"/>
        <v>2.4932438197882263</v>
      </c>
      <c r="EV214" s="775">
        <f t="shared" si="362"/>
        <v>3.5467404545019789</v>
      </c>
      <c r="EW214" s="775">
        <f t="shared" si="363"/>
        <v>43.651545111204996</v>
      </c>
      <c r="EX214" s="775">
        <f t="shared" si="364"/>
        <v>7.0762003756215428</v>
      </c>
      <c r="EY214" s="775">
        <f t="shared" si="391"/>
        <v>32.507440375478353</v>
      </c>
      <c r="EZ214" s="775">
        <f t="shared" si="365"/>
        <v>14.776109261581068</v>
      </c>
      <c r="FA214" s="775">
        <f t="shared" si="366"/>
        <v>5.2708856405103077</v>
      </c>
      <c r="FB214" s="775">
        <f t="shared" si="367"/>
        <v>3.8197432751600595</v>
      </c>
      <c r="FC214" s="775"/>
      <c r="FD214" s="775"/>
      <c r="FE214" s="775"/>
      <c r="FF214" s="775"/>
      <c r="FG214" s="775"/>
      <c r="FH214" s="775"/>
      <c r="FI214" s="775"/>
      <c r="FJ214" s="775"/>
      <c r="FK214" s="775" t="b">
        <f t="shared" si="392"/>
        <v>0</v>
      </c>
      <c r="FL214" s="775">
        <f t="shared" si="368"/>
        <v>22.886211288871976</v>
      </c>
      <c r="FM214" s="775">
        <v>74</v>
      </c>
      <c r="FN214" s="775">
        <f t="shared" si="393"/>
        <v>13</v>
      </c>
      <c r="FO214" s="673">
        <f t="shared" si="312"/>
        <v>35.886211288871976</v>
      </c>
      <c r="FP214" s="673">
        <f t="shared" si="369"/>
        <v>24.403675819467587</v>
      </c>
      <c r="FQ214" s="775" t="b">
        <f t="shared" si="370"/>
        <v>1</v>
      </c>
      <c r="FR214" s="673"/>
      <c r="FS214" s="775">
        <f t="shared" si="371"/>
        <v>35.886211288871976</v>
      </c>
      <c r="FT214" s="775">
        <f t="shared" si="372"/>
        <v>0.14828198415720847</v>
      </c>
      <c r="FU214" s="775">
        <f t="shared" si="373"/>
        <v>1.746769690887684E-2</v>
      </c>
      <c r="FV214" s="775">
        <f t="shared" si="374"/>
        <v>1.4267558893447398</v>
      </c>
      <c r="FW214" s="775">
        <f t="shared" si="375"/>
        <v>0.81118259842770279</v>
      </c>
      <c r="FX214" s="775">
        <f t="shared" si="376"/>
        <v>39.3263056217653</v>
      </c>
      <c r="FY214" s="775">
        <f t="shared" si="377"/>
        <v>67.126860404899134</v>
      </c>
      <c r="FZ214" s="775">
        <f t="shared" si="378"/>
        <v>25.004196067359782</v>
      </c>
      <c r="GA214" s="775">
        <f t="shared" si="379"/>
        <v>38.801822762668287</v>
      </c>
      <c r="GB214" s="775">
        <f t="shared" si="380"/>
        <v>208.18790575672071</v>
      </c>
      <c r="GC214" s="775">
        <f t="shared" si="381"/>
        <v>8.4776703571942278</v>
      </c>
      <c r="GD214" s="775">
        <f t="shared" si="382"/>
        <v>2.7889228141738798</v>
      </c>
      <c r="GE214" s="775">
        <f t="shared" si="383"/>
        <v>1.2676921882608543</v>
      </c>
      <c r="GF214" s="775">
        <f t="shared" si="384"/>
        <v>36.20264115027998</v>
      </c>
      <c r="GG214" s="775">
        <f t="shared" si="385"/>
        <v>35.886211288871976</v>
      </c>
    </row>
    <row r="215" spans="70:189">
      <c r="BR215" s="775"/>
      <c r="BS215" s="775"/>
      <c r="BT215" s="775"/>
      <c r="BU215" s="775"/>
      <c r="BV215" s="775"/>
      <c r="BW215" s="775"/>
      <c r="BX215" s="775"/>
      <c r="BY215" s="775" t="b">
        <f t="shared" si="386"/>
        <v>0</v>
      </c>
      <c r="BZ215" s="775">
        <f t="shared" si="313"/>
        <v>32.20894673506281</v>
      </c>
      <c r="CA215" s="775">
        <v>75</v>
      </c>
      <c r="CB215" s="775">
        <f t="shared" si="394"/>
        <v>37.5</v>
      </c>
      <c r="CC215" s="673">
        <f t="shared" si="314"/>
        <v>5.2910532649371929</v>
      </c>
      <c r="CD215" s="91">
        <f t="shared" si="315"/>
        <v>2</v>
      </c>
      <c r="CE215" s="775" t="b">
        <f t="shared" si="316"/>
        <v>0</v>
      </c>
      <c r="CF215" s="673"/>
      <c r="CG215" s="775">
        <f t="shared" si="317"/>
        <v>5.2910532649371929</v>
      </c>
      <c r="CH215" s="775">
        <f t="shared" si="318"/>
        <v>3.4464870819165272E-2</v>
      </c>
      <c r="CI215" s="775">
        <f t="shared" si="319"/>
        <v>2.305146724968087E-3</v>
      </c>
      <c r="CJ215" s="775">
        <f t="shared" si="320"/>
        <v>5.274810247220608</v>
      </c>
      <c r="CK215" s="775">
        <f t="shared" si="321"/>
        <v>2.6060699035769241</v>
      </c>
      <c r="CL215" s="775">
        <f t="shared" si="322"/>
        <v>4.6417936696084743</v>
      </c>
      <c r="CM215" s="775">
        <f t="shared" si="323"/>
        <v>9.1275737813601427</v>
      </c>
      <c r="CN215" s="775">
        <f t="shared" si="324"/>
        <v>2.4975828447290995</v>
      </c>
      <c r="CO215" s="775">
        <f t="shared" si="325"/>
        <v>3.5527528859481001</v>
      </c>
      <c r="CP215" s="775">
        <f t="shared" si="326"/>
        <v>43.081088523956588</v>
      </c>
      <c r="CQ215" s="775">
        <f t="shared" si="327"/>
        <v>6.9837256394654847</v>
      </c>
      <c r="CR215" s="775">
        <f t="shared" si="387"/>
        <v>32.937886404864642</v>
      </c>
      <c r="CS215" s="775">
        <f t="shared" si="328"/>
        <v>14.971766547665744</v>
      </c>
      <c r="CT215" s="775">
        <f t="shared" si="329"/>
        <v>5.2910532649371929</v>
      </c>
      <c r="CU215" s="775">
        <f t="shared" si="330"/>
        <v>3.8279463557806581</v>
      </c>
      <c r="CV215" s="775"/>
      <c r="CW215" s="775"/>
      <c r="CX215" s="775"/>
      <c r="CY215" s="775"/>
      <c r="CZ215" s="775"/>
      <c r="DA215" s="775"/>
      <c r="DB215" s="775"/>
      <c r="DC215" s="775"/>
      <c r="DD215" s="775" t="b">
        <f t="shared" si="388"/>
        <v>0</v>
      </c>
      <c r="DE215" s="775">
        <f t="shared" si="331"/>
        <v>17.825304347773788</v>
      </c>
      <c r="DF215" s="776">
        <v>76</v>
      </c>
      <c r="DG215" s="775">
        <f t="shared" si="389"/>
        <v>12.5</v>
      </c>
      <c r="DH215" s="673">
        <f t="shared" si="332"/>
        <v>30.325304347773788</v>
      </c>
      <c r="DI215" s="673">
        <f t="shared" si="333"/>
        <v>19</v>
      </c>
      <c r="DJ215" s="775" t="b">
        <f t="shared" si="334"/>
        <v>1</v>
      </c>
      <c r="DK215" s="673"/>
      <c r="DL215" s="775">
        <f t="shared" si="335"/>
        <v>30.325304347773788</v>
      </c>
      <c r="DM215" s="775">
        <f t="shared" si="336"/>
        <v>0.15335076981234402</v>
      </c>
      <c r="DN215" s="775">
        <f t="shared" si="337"/>
        <v>1.8064802565529645E-2</v>
      </c>
      <c r="DO215" s="775">
        <f t="shared" si="338"/>
        <v>1.4136067644280861</v>
      </c>
      <c r="DP215" s="775">
        <f t="shared" si="339"/>
        <v>0.80690514954811021</v>
      </c>
      <c r="DQ215" s="775">
        <f t="shared" si="340"/>
        <v>30.362121289513574</v>
      </c>
      <c r="DR215" s="775">
        <f t="shared" si="341"/>
        <v>51.825714243287351</v>
      </c>
      <c r="DS215" s="775">
        <f t="shared" si="342"/>
        <v>24.825824737344597</v>
      </c>
      <c r="DT215" s="775">
        <f t="shared" si="343"/>
        <v>38.544748254426203</v>
      </c>
      <c r="DU215" s="775">
        <f t="shared" si="344"/>
        <v>215.304480816531</v>
      </c>
      <c r="DV215" s="775">
        <f t="shared" si="345"/>
        <v>8.7674661414882618</v>
      </c>
      <c r="DW215" s="775">
        <f t="shared" si="346"/>
        <v>7.4026364614220652</v>
      </c>
      <c r="DX215" s="775">
        <f t="shared" si="347"/>
        <v>3.3648347551918474</v>
      </c>
      <c r="DY215" s="775">
        <f t="shared" si="348"/>
        <v>30.325304347773788</v>
      </c>
      <c r="DZ215" s="775">
        <f t="shared" si="349"/>
        <v>35.729964530718114</v>
      </c>
      <c r="EA215" s="775"/>
      <c r="EB215" s="775"/>
      <c r="EC215" s="775"/>
      <c r="ED215" s="775"/>
      <c r="EE215" s="775"/>
      <c r="EF215" s="775" t="b">
        <f t="shared" si="390"/>
        <v>0</v>
      </c>
      <c r="EG215" s="775">
        <f t="shared" si="350"/>
        <v>32.20894673506281</v>
      </c>
      <c r="EH215" s="775">
        <v>75</v>
      </c>
      <c r="EI215" s="775">
        <f t="shared" si="395"/>
        <v>37.5</v>
      </c>
      <c r="EJ215" s="673">
        <f t="shared" si="351"/>
        <v>5.2910532649371929</v>
      </c>
      <c r="EK215" s="673">
        <f t="shared" si="352"/>
        <v>2.2510196371999172</v>
      </c>
      <c r="EL215" s="775" t="b">
        <f t="shared" si="353"/>
        <v>0</v>
      </c>
      <c r="EM215" s="673"/>
      <c r="EN215" s="775">
        <f t="shared" si="354"/>
        <v>5.2910532649371929</v>
      </c>
      <c r="EO215" s="775">
        <f t="shared" si="355"/>
        <v>3.4464870819165272E-2</v>
      </c>
      <c r="EP215" s="775">
        <f t="shared" si="356"/>
        <v>2.305146724968087E-3</v>
      </c>
      <c r="EQ215" s="775">
        <f t="shared" si="357"/>
        <v>5.274810247220608</v>
      </c>
      <c r="ER215" s="775">
        <f t="shared" si="358"/>
        <v>2.6060699035769241</v>
      </c>
      <c r="ES215" s="775">
        <f t="shared" si="359"/>
        <v>4.6417936696084743</v>
      </c>
      <c r="ET215" s="775">
        <f t="shared" si="360"/>
        <v>9.1275737813601427</v>
      </c>
      <c r="EU215" s="775">
        <f t="shared" si="361"/>
        <v>2.4975828447290995</v>
      </c>
      <c r="EV215" s="775">
        <f t="shared" si="362"/>
        <v>3.5527528859481001</v>
      </c>
      <c r="EW215" s="775">
        <f t="shared" si="363"/>
        <v>43.081088523956588</v>
      </c>
      <c r="EX215" s="775">
        <f t="shared" si="364"/>
        <v>6.9837256394654847</v>
      </c>
      <c r="EY215" s="775">
        <f t="shared" si="391"/>
        <v>32.937886404864642</v>
      </c>
      <c r="EZ215" s="775">
        <f t="shared" si="365"/>
        <v>14.971766547665744</v>
      </c>
      <c r="FA215" s="775">
        <f t="shared" si="366"/>
        <v>5.2910532649371929</v>
      </c>
      <c r="FB215" s="775">
        <f t="shared" si="367"/>
        <v>3.8279463557806581</v>
      </c>
      <c r="FC215" s="775"/>
      <c r="FD215" s="775"/>
      <c r="FE215" s="775"/>
      <c r="FF215" s="775"/>
      <c r="FG215" s="775"/>
      <c r="FH215" s="775"/>
      <c r="FI215" s="775"/>
      <c r="FJ215" s="775"/>
      <c r="FK215" s="775" t="b">
        <f t="shared" si="392"/>
        <v>0</v>
      </c>
      <c r="FL215" s="775">
        <f t="shared" si="368"/>
        <v>23.229964530718114</v>
      </c>
      <c r="FM215" s="775">
        <v>75</v>
      </c>
      <c r="FN215" s="775">
        <f t="shared" si="393"/>
        <v>12.5</v>
      </c>
      <c r="FO215" s="673">
        <f t="shared" si="312"/>
        <v>35.729964530718114</v>
      </c>
      <c r="FP215" s="673">
        <f t="shared" si="369"/>
        <v>24.403675819467587</v>
      </c>
      <c r="FQ215" s="775" t="b">
        <f t="shared" si="370"/>
        <v>1</v>
      </c>
      <c r="FR215" s="673"/>
      <c r="FS215" s="775">
        <f t="shared" si="371"/>
        <v>35.729964530718114</v>
      </c>
      <c r="FT215" s="775">
        <f t="shared" si="372"/>
        <v>0.15335076981234402</v>
      </c>
      <c r="FU215" s="775">
        <f t="shared" si="373"/>
        <v>1.8064802565529645E-2</v>
      </c>
      <c r="FV215" s="775">
        <f t="shared" si="374"/>
        <v>1.4136067644280861</v>
      </c>
      <c r="FW215" s="775">
        <f t="shared" si="375"/>
        <v>0.80690514954811021</v>
      </c>
      <c r="FX215" s="775">
        <f t="shared" si="376"/>
        <v>38.997229744244443</v>
      </c>
      <c r="FY215" s="775">
        <f t="shared" si="377"/>
        <v>66.565154184502546</v>
      </c>
      <c r="FZ215" s="775">
        <f t="shared" si="378"/>
        <v>24.825824737344597</v>
      </c>
      <c r="GA215" s="775">
        <f t="shared" si="379"/>
        <v>38.544748254426203</v>
      </c>
      <c r="GB215" s="775">
        <f t="shared" si="380"/>
        <v>215.304480816531</v>
      </c>
      <c r="GC215" s="775">
        <f t="shared" si="381"/>
        <v>8.7674661414882618</v>
      </c>
      <c r="GD215" s="775">
        <f t="shared" si="382"/>
        <v>2.6967390450864235</v>
      </c>
      <c r="GE215" s="775">
        <f t="shared" si="383"/>
        <v>1.2257904750392834</v>
      </c>
      <c r="GF215" s="775">
        <f t="shared" si="384"/>
        <v>36.00447001005795</v>
      </c>
      <c r="GG215" s="775">
        <f t="shared" si="385"/>
        <v>35.729964530718114</v>
      </c>
    </row>
    <row r="216" spans="70:189">
      <c r="BR216" s="775"/>
      <c r="BS216" s="775"/>
      <c r="BT216" s="775"/>
      <c r="BU216" s="775"/>
      <c r="BV216" s="775"/>
      <c r="BW216" s="775"/>
      <c r="BX216" s="775"/>
      <c r="BY216" s="775" t="b">
        <f t="shared" si="386"/>
        <v>0</v>
      </c>
      <c r="BZ216" s="775">
        <f t="shared" si="313"/>
        <v>32.688989578054858</v>
      </c>
      <c r="CA216" s="775">
        <v>76</v>
      </c>
      <c r="CB216" s="775">
        <f t="shared" si="394"/>
        <v>38</v>
      </c>
      <c r="CC216" s="673">
        <f t="shared" si="314"/>
        <v>5.3110104219451442</v>
      </c>
      <c r="CD216" s="91">
        <f t="shared" si="315"/>
        <v>2</v>
      </c>
      <c r="CE216" s="775" t="b">
        <f t="shared" si="316"/>
        <v>0</v>
      </c>
      <c r="CF216" s="673"/>
      <c r="CG216" s="775">
        <f t="shared" si="317"/>
        <v>5.3110104219451442</v>
      </c>
      <c r="CH216" s="775">
        <f t="shared" si="318"/>
        <v>3.4020396640585163E-2</v>
      </c>
      <c r="CI216" s="775">
        <f t="shared" si="319"/>
        <v>2.2754185358661253E-3</v>
      </c>
      <c r="CJ216" s="775">
        <f t="shared" si="320"/>
        <v>5.278758627649716</v>
      </c>
      <c r="CK216" s="775">
        <f t="shared" si="321"/>
        <v>2.6070150331131514</v>
      </c>
      <c r="CL216" s="775">
        <f t="shared" si="322"/>
        <v>4.6568811307537139</v>
      </c>
      <c r="CM216" s="775">
        <f t="shared" si="323"/>
        <v>9.1572416047445024</v>
      </c>
      <c r="CN216" s="775">
        <f t="shared" si="324"/>
        <v>2.5018710821191719</v>
      </c>
      <c r="CO216" s="775">
        <f t="shared" si="325"/>
        <v>3.5586951214712208</v>
      </c>
      <c r="CP216" s="775">
        <f t="shared" si="326"/>
        <v>42.525495800731456</v>
      </c>
      <c r="CQ216" s="775">
        <f t="shared" si="327"/>
        <v>6.8936604326838555</v>
      </c>
      <c r="CR216" s="775">
        <f t="shared" si="387"/>
        <v>33.368217660512087</v>
      </c>
      <c r="CS216" s="775">
        <f t="shared" si="328"/>
        <v>15.16737166386913</v>
      </c>
      <c r="CT216" s="775">
        <f t="shared" si="329"/>
        <v>5.3110104219451442</v>
      </c>
      <c r="CU216" s="775">
        <f t="shared" si="330"/>
        <v>3.8360522896293947</v>
      </c>
      <c r="CV216" s="775"/>
      <c r="CW216" s="775"/>
      <c r="CX216" s="775"/>
      <c r="CY216" s="775"/>
      <c r="CZ216" s="775"/>
      <c r="DA216" s="775"/>
      <c r="DB216" s="775"/>
      <c r="DC216" s="775"/>
      <c r="DD216" s="775" t="b">
        <f t="shared" si="388"/>
        <v>0</v>
      </c>
      <c r="DE216" s="775">
        <f t="shared" si="331"/>
        <v>18.135470701504033</v>
      </c>
      <c r="DF216" s="776">
        <v>77</v>
      </c>
      <c r="DG216" s="775">
        <f t="shared" si="389"/>
        <v>12</v>
      </c>
      <c r="DH216" s="673">
        <f t="shared" si="332"/>
        <v>30.135470701504033</v>
      </c>
      <c r="DI216" s="673">
        <f t="shared" si="333"/>
        <v>19</v>
      </c>
      <c r="DJ216" s="775" t="b">
        <f t="shared" si="334"/>
        <v>1</v>
      </c>
      <c r="DK216" s="673"/>
      <c r="DL216" s="775">
        <f t="shared" si="335"/>
        <v>30.135470701504033</v>
      </c>
      <c r="DM216" s="775">
        <f t="shared" si="336"/>
        <v>0.15881060994251631</v>
      </c>
      <c r="DN216" s="775">
        <f t="shared" si="337"/>
        <v>1.870797464814529E-2</v>
      </c>
      <c r="DO216" s="775">
        <f t="shared" si="338"/>
        <v>1.3997902082206217</v>
      </c>
      <c r="DP216" s="775">
        <f t="shared" si="339"/>
        <v>0.80237255593007073</v>
      </c>
      <c r="DQ216" s="775">
        <f t="shared" si="340"/>
        <v>30.09772865547793</v>
      </c>
      <c r="DR216" s="775">
        <f t="shared" si="341"/>
        <v>51.374417149487336</v>
      </c>
      <c r="DS216" s="775">
        <f t="shared" si="342"/>
        <v>24.641330038629494</v>
      </c>
      <c r="DT216" s="775">
        <f t="shared" si="343"/>
        <v>38.278637911645703</v>
      </c>
      <c r="DU216" s="775">
        <f t="shared" si="344"/>
        <v>222.97009635929288</v>
      </c>
      <c r="DV216" s="775">
        <f t="shared" si="345"/>
        <v>9.079619536856292</v>
      </c>
      <c r="DW216" s="775">
        <f t="shared" si="346"/>
        <v>7.1481370193773657</v>
      </c>
      <c r="DX216" s="775">
        <f t="shared" si="347"/>
        <v>3.2491531906260751</v>
      </c>
      <c r="DY216" s="775">
        <f t="shared" si="348"/>
        <v>30.135470701504033</v>
      </c>
      <c r="DZ216" s="775">
        <f t="shared" si="349"/>
        <v>35.567421697871815</v>
      </c>
      <c r="EA216" s="775"/>
      <c r="EB216" s="775"/>
      <c r="EC216" s="775"/>
      <c r="ED216" s="775"/>
      <c r="EE216" s="775"/>
      <c r="EF216" s="775" t="b">
        <f t="shared" si="390"/>
        <v>0</v>
      </c>
      <c r="EG216" s="775">
        <f t="shared" si="350"/>
        <v>32.688989578054858</v>
      </c>
      <c r="EH216" s="775">
        <v>76</v>
      </c>
      <c r="EI216" s="775">
        <f t="shared" si="395"/>
        <v>38</v>
      </c>
      <c r="EJ216" s="673">
        <f t="shared" si="351"/>
        <v>5.3110104219451442</v>
      </c>
      <c r="EK216" s="673">
        <f t="shared" si="352"/>
        <v>2.2510196371999172</v>
      </c>
      <c r="EL216" s="775" t="b">
        <f t="shared" si="353"/>
        <v>0</v>
      </c>
      <c r="EM216" s="673"/>
      <c r="EN216" s="775">
        <f t="shared" si="354"/>
        <v>5.3110104219451442</v>
      </c>
      <c r="EO216" s="775">
        <f t="shared" si="355"/>
        <v>3.4020396640585163E-2</v>
      </c>
      <c r="EP216" s="775">
        <f t="shared" si="356"/>
        <v>2.2754185358661253E-3</v>
      </c>
      <c r="EQ216" s="775">
        <f t="shared" si="357"/>
        <v>5.278758627649716</v>
      </c>
      <c r="ER216" s="775">
        <f t="shared" si="358"/>
        <v>2.6070150331131514</v>
      </c>
      <c r="ES216" s="775">
        <f t="shared" si="359"/>
        <v>4.6568811307537139</v>
      </c>
      <c r="ET216" s="775">
        <f t="shared" si="360"/>
        <v>9.1572416047445024</v>
      </c>
      <c r="EU216" s="775">
        <f t="shared" si="361"/>
        <v>2.5018710821191719</v>
      </c>
      <c r="EV216" s="775">
        <f t="shared" si="362"/>
        <v>3.5586951214712208</v>
      </c>
      <c r="EW216" s="775">
        <f t="shared" si="363"/>
        <v>42.525495800731456</v>
      </c>
      <c r="EX216" s="775">
        <f t="shared" si="364"/>
        <v>6.8936604326838555</v>
      </c>
      <c r="EY216" s="775">
        <f t="shared" si="391"/>
        <v>33.368217660512087</v>
      </c>
      <c r="EZ216" s="775">
        <f t="shared" si="365"/>
        <v>15.16737166386913</v>
      </c>
      <c r="FA216" s="775">
        <f t="shared" si="366"/>
        <v>5.3110104219451442</v>
      </c>
      <c r="FB216" s="775">
        <f t="shared" si="367"/>
        <v>3.8360522896293947</v>
      </c>
      <c r="FC216" s="775"/>
      <c r="FD216" s="775"/>
      <c r="FE216" s="775"/>
      <c r="FF216" s="775"/>
      <c r="FG216" s="775"/>
      <c r="FH216" s="775"/>
      <c r="FI216" s="775"/>
      <c r="FJ216" s="775"/>
      <c r="FK216" s="775" t="b">
        <f t="shared" si="392"/>
        <v>0</v>
      </c>
      <c r="FL216" s="775">
        <f t="shared" si="368"/>
        <v>23.567421697871815</v>
      </c>
      <c r="FM216" s="775">
        <v>76</v>
      </c>
      <c r="FN216" s="775">
        <f t="shared" si="393"/>
        <v>12</v>
      </c>
      <c r="FO216" s="673">
        <f t="shared" si="312"/>
        <v>35.567421697871815</v>
      </c>
      <c r="FP216" s="673">
        <f t="shared" si="369"/>
        <v>24.403675819467587</v>
      </c>
      <c r="FQ216" s="775" t="b">
        <f t="shared" si="370"/>
        <v>1</v>
      </c>
      <c r="FR216" s="673"/>
      <c r="FS216" s="775">
        <f t="shared" si="371"/>
        <v>35.567421697871815</v>
      </c>
      <c r="FT216" s="775">
        <f t="shared" si="372"/>
        <v>0.15881060994251631</v>
      </c>
      <c r="FU216" s="775">
        <f t="shared" si="373"/>
        <v>1.870797464814529E-2</v>
      </c>
      <c r="FV216" s="775">
        <f t="shared" si="374"/>
        <v>1.3997902082206217</v>
      </c>
      <c r="FW216" s="775">
        <f t="shared" si="375"/>
        <v>0.80237255593007073</v>
      </c>
      <c r="FX216" s="775">
        <f t="shared" si="376"/>
        <v>38.657642790030707</v>
      </c>
      <c r="FY216" s="775">
        <f t="shared" si="377"/>
        <v>65.985506396325533</v>
      </c>
      <c r="FZ216" s="775">
        <f t="shared" si="378"/>
        <v>24.641330038629494</v>
      </c>
      <c r="GA216" s="775">
        <f t="shared" si="379"/>
        <v>38.278637911645703</v>
      </c>
      <c r="GB216" s="775">
        <f t="shared" si="380"/>
        <v>222.97009635929288</v>
      </c>
      <c r="GC216" s="775">
        <f t="shared" si="381"/>
        <v>9.079619536856292</v>
      </c>
      <c r="GD216" s="775">
        <f t="shared" si="382"/>
        <v>2.6040263222759337</v>
      </c>
      <c r="GE216" s="775">
        <f t="shared" si="383"/>
        <v>1.1836483283072425</v>
      </c>
      <c r="GF216" s="775">
        <f t="shared" si="384"/>
        <v>35.798674139911434</v>
      </c>
      <c r="GG216" s="775">
        <f t="shared" si="385"/>
        <v>35.567421697871815</v>
      </c>
    </row>
    <row r="217" spans="70:189">
      <c r="BR217" s="775"/>
      <c r="BS217" s="775"/>
      <c r="BT217" s="775"/>
      <c r="BU217" s="775"/>
      <c r="BV217" s="775"/>
      <c r="BW217" s="775"/>
      <c r="BX217" s="775"/>
      <c r="BY217" s="775" t="b">
        <f t="shared" si="386"/>
        <v>0</v>
      </c>
      <c r="BZ217" s="775">
        <f t="shared" si="313"/>
        <v>33.169237990678326</v>
      </c>
      <c r="CA217" s="775">
        <v>77</v>
      </c>
      <c r="CB217" s="775">
        <f t="shared" si="394"/>
        <v>38.5</v>
      </c>
      <c r="CC217" s="673">
        <f t="shared" si="314"/>
        <v>5.3307620093216714</v>
      </c>
      <c r="CD217" s="91">
        <f t="shared" si="315"/>
        <v>2</v>
      </c>
      <c r="CE217" s="775" t="b">
        <f t="shared" si="316"/>
        <v>0</v>
      </c>
      <c r="CF217" s="673"/>
      <c r="CG217" s="775">
        <f t="shared" si="317"/>
        <v>5.3307620093216714</v>
      </c>
      <c r="CH217" s="775">
        <f t="shared" si="318"/>
        <v>3.3587353292251126E-2</v>
      </c>
      <c r="CI217" s="775">
        <f t="shared" si="319"/>
        <v>2.2464548858522012E-3</v>
      </c>
      <c r="CJ217" s="775">
        <f t="shared" si="320"/>
        <v>5.2826128640962224</v>
      </c>
      <c r="CK217" s="775">
        <f t="shared" si="321"/>
        <v>2.607936845810984</v>
      </c>
      <c r="CL217" s="775">
        <f t="shared" si="322"/>
        <v>4.6718194460051112</v>
      </c>
      <c r="CM217" s="775">
        <f t="shared" si="323"/>
        <v>9.1866161492269693</v>
      </c>
      <c r="CN217" s="775">
        <f t="shared" si="324"/>
        <v>2.5061097837715636</v>
      </c>
      <c r="CO217" s="775">
        <f t="shared" si="325"/>
        <v>3.5645688889498688</v>
      </c>
      <c r="CP217" s="775">
        <f t="shared" si="326"/>
        <v>41.984191615313911</v>
      </c>
      <c r="CQ217" s="775">
        <f t="shared" si="327"/>
        <v>6.8059114911419467</v>
      </c>
      <c r="CR217" s="775">
        <f t="shared" si="387"/>
        <v>33.79843568269191</v>
      </c>
      <c r="CS217" s="775">
        <f t="shared" si="328"/>
        <v>15.362925310314504</v>
      </c>
      <c r="CT217" s="775">
        <f t="shared" si="329"/>
        <v>5.3307620093216714</v>
      </c>
      <c r="CU217" s="775">
        <f t="shared" si="330"/>
        <v>3.8440634819247532</v>
      </c>
      <c r="CV217" s="775"/>
      <c r="CW217" s="775"/>
      <c r="CX217" s="775"/>
      <c r="CY217" s="775"/>
      <c r="CZ217" s="775"/>
      <c r="DA217" s="775"/>
      <c r="DB217" s="775"/>
      <c r="DC217" s="775"/>
      <c r="DD217" s="775" t="b">
        <f t="shared" si="388"/>
        <v>0</v>
      </c>
      <c r="DE217" s="775">
        <f t="shared" si="331"/>
        <v>18.438226797432897</v>
      </c>
      <c r="DF217" s="776">
        <v>78</v>
      </c>
      <c r="DG217" s="775">
        <f t="shared" si="389"/>
        <v>11.5</v>
      </c>
      <c r="DH217" s="673">
        <f t="shared" si="332"/>
        <v>29.938226797432897</v>
      </c>
      <c r="DI217" s="673">
        <f t="shared" si="333"/>
        <v>19</v>
      </c>
      <c r="DJ217" s="775" t="b">
        <f t="shared" si="334"/>
        <v>1</v>
      </c>
      <c r="DK217" s="673"/>
      <c r="DL217" s="775">
        <f t="shared" si="335"/>
        <v>29.938226797432897</v>
      </c>
      <c r="DM217" s="775">
        <f t="shared" si="336"/>
        <v>0.16470993371798848</v>
      </c>
      <c r="DN217" s="775">
        <f t="shared" si="337"/>
        <v>1.9402918138839535E-2</v>
      </c>
      <c r="DO217" s="775">
        <f t="shared" si="338"/>
        <v>1.3852496518272011</v>
      </c>
      <c r="DP217" s="775">
        <f t="shared" si="339"/>
        <v>0.79755995196973162</v>
      </c>
      <c r="DQ217" s="775">
        <f t="shared" si="340"/>
        <v>29.824533051032631</v>
      </c>
      <c r="DR217" s="775">
        <f t="shared" si="341"/>
        <v>50.908094088805981</v>
      </c>
      <c r="DS217" s="775">
        <f t="shared" si="342"/>
        <v>24.450235498102437</v>
      </c>
      <c r="DT217" s="775">
        <f t="shared" si="343"/>
        <v>38.002780716065523</v>
      </c>
      <c r="DU217" s="775">
        <f t="shared" si="344"/>
        <v>231.25274694005583</v>
      </c>
      <c r="DV217" s="775">
        <f t="shared" si="345"/>
        <v>9.4168993661158495</v>
      </c>
      <c r="DW217" s="775">
        <f t="shared" si="346"/>
        <v>6.8921161849512744</v>
      </c>
      <c r="DX217" s="775">
        <f t="shared" si="347"/>
        <v>3.1327800840687607</v>
      </c>
      <c r="DY217" s="775">
        <f t="shared" si="348"/>
        <v>29.938226797432897</v>
      </c>
      <c r="DZ217" s="775">
        <f t="shared" si="349"/>
        <v>35.398055226480395</v>
      </c>
      <c r="EA217" s="775"/>
      <c r="EB217" s="775"/>
      <c r="EC217" s="775"/>
      <c r="ED217" s="775"/>
      <c r="EE217" s="775"/>
      <c r="EF217" s="775" t="b">
        <f t="shared" si="390"/>
        <v>0</v>
      </c>
      <c r="EG217" s="775">
        <f t="shared" si="350"/>
        <v>33.169237990678326</v>
      </c>
      <c r="EH217" s="775">
        <v>77</v>
      </c>
      <c r="EI217" s="775">
        <f t="shared" si="395"/>
        <v>38.5</v>
      </c>
      <c r="EJ217" s="673">
        <f t="shared" si="351"/>
        <v>5.3307620093216714</v>
      </c>
      <c r="EK217" s="673">
        <f t="shared" si="352"/>
        <v>2.2510196371999172</v>
      </c>
      <c r="EL217" s="775" t="b">
        <f t="shared" si="353"/>
        <v>0</v>
      </c>
      <c r="EM217" s="673"/>
      <c r="EN217" s="775">
        <f t="shared" si="354"/>
        <v>5.3307620093216714</v>
      </c>
      <c r="EO217" s="775">
        <f t="shared" si="355"/>
        <v>3.3587353292251126E-2</v>
      </c>
      <c r="EP217" s="775">
        <f t="shared" si="356"/>
        <v>2.2464548858522012E-3</v>
      </c>
      <c r="EQ217" s="775">
        <f t="shared" si="357"/>
        <v>5.2826128640962224</v>
      </c>
      <c r="ER217" s="775">
        <f t="shared" si="358"/>
        <v>2.607936845810984</v>
      </c>
      <c r="ES217" s="775">
        <f t="shared" si="359"/>
        <v>4.6718194460051112</v>
      </c>
      <c r="ET217" s="775">
        <f t="shared" si="360"/>
        <v>9.1866161492269693</v>
      </c>
      <c r="EU217" s="775">
        <f t="shared" si="361"/>
        <v>2.5061097837715636</v>
      </c>
      <c r="EV217" s="775">
        <f t="shared" si="362"/>
        <v>3.5645688889498688</v>
      </c>
      <c r="EW217" s="775">
        <f t="shared" si="363"/>
        <v>41.984191615313911</v>
      </c>
      <c r="EX217" s="775">
        <f t="shared" si="364"/>
        <v>6.8059114911419467</v>
      </c>
      <c r="EY217" s="775">
        <f t="shared" si="391"/>
        <v>33.79843568269191</v>
      </c>
      <c r="EZ217" s="775">
        <f t="shared" si="365"/>
        <v>15.362925310314504</v>
      </c>
      <c r="FA217" s="775">
        <f t="shared" si="366"/>
        <v>5.3307620093216714</v>
      </c>
      <c r="FB217" s="775">
        <f t="shared" si="367"/>
        <v>3.8440634819247532</v>
      </c>
      <c r="FC217" s="775"/>
      <c r="FD217" s="775"/>
      <c r="FE217" s="775"/>
      <c r="FF217" s="775"/>
      <c r="FG217" s="775"/>
      <c r="FH217" s="775"/>
      <c r="FI217" s="775"/>
      <c r="FJ217" s="775"/>
      <c r="FK217" s="775" t="b">
        <f t="shared" si="392"/>
        <v>0</v>
      </c>
      <c r="FL217" s="775">
        <f t="shared" si="368"/>
        <v>23.898055226480395</v>
      </c>
      <c r="FM217" s="775">
        <v>77</v>
      </c>
      <c r="FN217" s="775">
        <f t="shared" si="393"/>
        <v>11.5</v>
      </c>
      <c r="FO217" s="673">
        <f t="shared" si="312"/>
        <v>35.398055226480395</v>
      </c>
      <c r="FP217" s="673">
        <f t="shared" si="369"/>
        <v>24.403675819467587</v>
      </c>
      <c r="FQ217" s="775" t="b">
        <f t="shared" si="370"/>
        <v>1</v>
      </c>
      <c r="FR217" s="673"/>
      <c r="FS217" s="775">
        <f t="shared" si="371"/>
        <v>35.398055226480395</v>
      </c>
      <c r="FT217" s="775">
        <f t="shared" si="372"/>
        <v>0.16470993371798848</v>
      </c>
      <c r="FU217" s="775">
        <f t="shared" si="373"/>
        <v>1.9402918138839535E-2</v>
      </c>
      <c r="FV217" s="775">
        <f t="shared" si="374"/>
        <v>1.3852496518272011</v>
      </c>
      <c r="FW217" s="775">
        <f t="shared" si="375"/>
        <v>0.79755995196973162</v>
      </c>
      <c r="FX217" s="775">
        <f t="shared" si="376"/>
        <v>38.306749265494574</v>
      </c>
      <c r="FY217" s="775">
        <f t="shared" si="377"/>
        <v>65.386559196325024</v>
      </c>
      <c r="FZ217" s="775">
        <f t="shared" si="378"/>
        <v>24.450235498102437</v>
      </c>
      <c r="GA217" s="775">
        <f t="shared" si="379"/>
        <v>38.002780716065523</v>
      </c>
      <c r="GB217" s="775">
        <f t="shared" si="380"/>
        <v>231.25274694005583</v>
      </c>
      <c r="GC217" s="775">
        <f t="shared" si="381"/>
        <v>9.4168993661158495</v>
      </c>
      <c r="GD217" s="775">
        <f t="shared" si="382"/>
        <v>2.5107593647331048</v>
      </c>
      <c r="GE217" s="775">
        <f t="shared" si="383"/>
        <v>1.1412542566968658</v>
      </c>
      <c r="GF217" s="775">
        <f t="shared" si="384"/>
        <v>35.584631219159021</v>
      </c>
      <c r="GG217" s="775">
        <f t="shared" si="385"/>
        <v>35.398055226480395</v>
      </c>
    </row>
    <row r="218" spans="70:189">
      <c r="BR218" s="775"/>
      <c r="BS218" s="775"/>
      <c r="BT218" s="775"/>
      <c r="BU218" s="775"/>
      <c r="BV218" s="775"/>
      <c r="BW218" s="775"/>
      <c r="BX218" s="775"/>
      <c r="BY218" s="775" t="b">
        <f t="shared" si="386"/>
        <v>0</v>
      </c>
      <c r="BZ218" s="775">
        <f t="shared" si="313"/>
        <v>33.6496872507565</v>
      </c>
      <c r="CA218" s="775">
        <v>78</v>
      </c>
      <c r="CB218" s="775">
        <f t="shared" si="394"/>
        <v>39</v>
      </c>
      <c r="CC218" s="673">
        <f t="shared" si="314"/>
        <v>5.3503127492434963</v>
      </c>
      <c r="CD218" s="91">
        <f t="shared" si="315"/>
        <v>2</v>
      </c>
      <c r="CE218" s="775" t="b">
        <f t="shared" si="316"/>
        <v>0</v>
      </c>
      <c r="CF218" s="673"/>
      <c r="CG218" s="775">
        <f t="shared" si="317"/>
        <v>5.3503127492434963</v>
      </c>
      <c r="CH218" s="775">
        <f t="shared" si="318"/>
        <v>3.3165304001346027E-2</v>
      </c>
      <c r="CI218" s="775">
        <f t="shared" si="319"/>
        <v>2.2182265618346918E-3</v>
      </c>
      <c r="CJ218" s="775">
        <f t="shared" si="320"/>
        <v>5.2863762981319198</v>
      </c>
      <c r="CK218" s="775">
        <f t="shared" si="321"/>
        <v>2.6088361971870726</v>
      </c>
      <c r="CL218" s="775">
        <f t="shared" si="322"/>
        <v>4.6866119983058327</v>
      </c>
      <c r="CM218" s="775">
        <f t="shared" si="323"/>
        <v>9.2157040669910639</v>
      </c>
      <c r="CN218" s="775">
        <f t="shared" si="324"/>
        <v>2.5103001548687911</v>
      </c>
      <c r="CO218" s="775">
        <f t="shared" si="325"/>
        <v>3.5703758519565105</v>
      </c>
      <c r="CP218" s="775">
        <f t="shared" si="326"/>
        <v>41.456630001682534</v>
      </c>
      <c r="CQ218" s="775">
        <f t="shared" si="327"/>
        <v>6.7203903101841709</v>
      </c>
      <c r="CR218" s="775">
        <f t="shared" si="387"/>
        <v>34.228541971269962</v>
      </c>
      <c r="CS218" s="775">
        <f t="shared" si="328"/>
        <v>15.558428168759072</v>
      </c>
      <c r="CT218" s="775">
        <f t="shared" si="329"/>
        <v>5.3503127492434963</v>
      </c>
      <c r="CU218" s="775">
        <f t="shared" si="330"/>
        <v>3.8519822480522983</v>
      </c>
      <c r="CV218" s="775"/>
      <c r="CW218" s="775"/>
      <c r="CX218" s="775"/>
      <c r="CY218" s="775"/>
      <c r="CZ218" s="775"/>
      <c r="DA218" s="775"/>
      <c r="DB218" s="775"/>
      <c r="DC218" s="775"/>
      <c r="DD218" s="775" t="b">
        <f t="shared" si="388"/>
        <v>0</v>
      </c>
      <c r="DE218" s="775">
        <f t="shared" si="331"/>
        <v>18.732949028873666</v>
      </c>
      <c r="DF218" s="776">
        <v>79</v>
      </c>
      <c r="DG218" s="775">
        <f t="shared" si="389"/>
        <v>11</v>
      </c>
      <c r="DH218" s="673">
        <f t="shared" si="332"/>
        <v>29.732949028873666</v>
      </c>
      <c r="DI218" s="673">
        <f t="shared" si="333"/>
        <v>19</v>
      </c>
      <c r="DJ218" s="775" t="b">
        <f t="shared" si="334"/>
        <v>1</v>
      </c>
      <c r="DK218" s="673"/>
      <c r="DL218" s="775">
        <f t="shared" si="335"/>
        <v>29.732949028873666</v>
      </c>
      <c r="DM218" s="775">
        <f t="shared" si="336"/>
        <v>0.17110563424519873</v>
      </c>
      <c r="DN218" s="775">
        <f t="shared" si="337"/>
        <v>2.0156335075928865E-2</v>
      </c>
      <c r="DO218" s="775">
        <f t="shared" si="338"/>
        <v>1.3699215260264106</v>
      </c>
      <c r="DP218" s="775">
        <f t="shared" si="339"/>
        <v>0.79243900368188025</v>
      </c>
      <c r="DQ218" s="775">
        <f t="shared" si="340"/>
        <v>29.541838754834771</v>
      </c>
      <c r="DR218" s="775">
        <f t="shared" si="341"/>
        <v>50.425557520518922</v>
      </c>
      <c r="DS218" s="775">
        <f t="shared" si="342"/>
        <v>24.252004898069519</v>
      </c>
      <c r="DT218" s="775">
        <f t="shared" si="343"/>
        <v>37.716375844735964</v>
      </c>
      <c r="DU218" s="775">
        <f t="shared" si="344"/>
        <v>240.232310480259</v>
      </c>
      <c r="DV218" s="775">
        <f t="shared" si="345"/>
        <v>9.7825583575381447</v>
      </c>
      <c r="DW218" s="775">
        <f t="shared" si="346"/>
        <v>6.6344980690304416</v>
      </c>
      <c r="DX218" s="775">
        <f t="shared" si="347"/>
        <v>3.0156809404683824</v>
      </c>
      <c r="DY218" s="775">
        <f t="shared" si="348"/>
        <v>29.732949028873666</v>
      </c>
      <c r="DZ218" s="775">
        <f t="shared" si="349"/>
        <v>35.221268174220462</v>
      </c>
      <c r="EA218" s="775"/>
      <c r="EB218" s="775"/>
      <c r="EC218" s="775"/>
      <c r="ED218" s="775"/>
      <c r="EE218" s="775"/>
      <c r="EF218" s="775" t="b">
        <f t="shared" si="390"/>
        <v>0</v>
      </c>
      <c r="EG218" s="775">
        <f t="shared" si="350"/>
        <v>33.6496872507565</v>
      </c>
      <c r="EH218" s="775">
        <v>78</v>
      </c>
      <c r="EI218" s="775">
        <f t="shared" si="395"/>
        <v>39</v>
      </c>
      <c r="EJ218" s="673">
        <f t="shared" si="351"/>
        <v>5.3503127492434963</v>
      </c>
      <c r="EK218" s="673">
        <f t="shared" si="352"/>
        <v>2.2510196371999172</v>
      </c>
      <c r="EL218" s="775" t="b">
        <f t="shared" si="353"/>
        <v>0</v>
      </c>
      <c r="EM218" s="673"/>
      <c r="EN218" s="775">
        <f t="shared" si="354"/>
        <v>5.3503127492434963</v>
      </c>
      <c r="EO218" s="775">
        <f t="shared" si="355"/>
        <v>3.3165304001346027E-2</v>
      </c>
      <c r="EP218" s="775">
        <f t="shared" si="356"/>
        <v>2.2182265618346918E-3</v>
      </c>
      <c r="EQ218" s="775">
        <f t="shared" si="357"/>
        <v>5.2863762981319198</v>
      </c>
      <c r="ER218" s="775">
        <f t="shared" si="358"/>
        <v>2.6088361971870726</v>
      </c>
      <c r="ES218" s="775">
        <f t="shared" si="359"/>
        <v>4.6866119983058327</v>
      </c>
      <c r="ET218" s="775">
        <f t="shared" si="360"/>
        <v>9.2157040669910639</v>
      </c>
      <c r="EU218" s="775">
        <f t="shared" si="361"/>
        <v>2.5103001548687911</v>
      </c>
      <c r="EV218" s="775">
        <f t="shared" si="362"/>
        <v>3.5703758519565105</v>
      </c>
      <c r="EW218" s="775">
        <f t="shared" si="363"/>
        <v>41.456630001682534</v>
      </c>
      <c r="EX218" s="775">
        <f t="shared" si="364"/>
        <v>6.7203903101841709</v>
      </c>
      <c r="EY218" s="775">
        <f t="shared" si="391"/>
        <v>34.228541971269962</v>
      </c>
      <c r="EZ218" s="775">
        <f t="shared" si="365"/>
        <v>15.558428168759072</v>
      </c>
      <c r="FA218" s="775">
        <f t="shared" si="366"/>
        <v>5.3503127492434963</v>
      </c>
      <c r="FB218" s="775">
        <f t="shared" si="367"/>
        <v>3.8519822480522983</v>
      </c>
      <c r="FC218" s="775"/>
      <c r="FD218" s="775"/>
      <c r="FE218" s="775"/>
      <c r="FF218" s="775"/>
      <c r="FG218" s="775"/>
      <c r="FH218" s="775"/>
      <c r="FI218" s="775"/>
      <c r="FJ218" s="775"/>
      <c r="FK218" s="775" t="b">
        <f t="shared" si="392"/>
        <v>0</v>
      </c>
      <c r="FL218" s="775">
        <f t="shared" si="368"/>
        <v>24.221268174220462</v>
      </c>
      <c r="FM218" s="775">
        <v>78</v>
      </c>
      <c r="FN218" s="775">
        <f t="shared" si="393"/>
        <v>11</v>
      </c>
      <c r="FO218" s="673">
        <f t="shared" si="312"/>
        <v>35.221268174220462</v>
      </c>
      <c r="FP218" s="673">
        <f t="shared" si="369"/>
        <v>24.403675819467587</v>
      </c>
      <c r="FQ218" s="775" t="b">
        <f t="shared" si="370"/>
        <v>1</v>
      </c>
      <c r="FR218" s="673"/>
      <c r="FS218" s="775">
        <f t="shared" si="371"/>
        <v>35.221268174220462</v>
      </c>
      <c r="FT218" s="775">
        <f t="shared" si="372"/>
        <v>0.17110563424519873</v>
      </c>
      <c r="FU218" s="775">
        <f t="shared" si="373"/>
        <v>2.0156335075928865E-2</v>
      </c>
      <c r="FV218" s="775">
        <f t="shared" si="374"/>
        <v>1.3699215260264106</v>
      </c>
      <c r="FW218" s="775">
        <f t="shared" si="375"/>
        <v>0.79243900368188025</v>
      </c>
      <c r="FX218" s="775">
        <f t="shared" si="376"/>
        <v>37.943655583366933</v>
      </c>
      <c r="FY218" s="775">
        <f t="shared" si="377"/>
        <v>64.766787302455768</v>
      </c>
      <c r="FZ218" s="775">
        <f t="shared" si="378"/>
        <v>24.252004898069519</v>
      </c>
      <c r="GA218" s="775">
        <f t="shared" si="379"/>
        <v>37.716375844735964</v>
      </c>
      <c r="GB218" s="775">
        <f t="shared" si="380"/>
        <v>240.232310480259</v>
      </c>
      <c r="GC218" s="775">
        <f t="shared" si="381"/>
        <v>9.7825583575381447</v>
      </c>
      <c r="GD218" s="775">
        <f t="shared" si="382"/>
        <v>2.4169105264785444</v>
      </c>
      <c r="GE218" s="775">
        <f t="shared" si="383"/>
        <v>1.0985956938538837</v>
      </c>
      <c r="GF218" s="775">
        <f t="shared" si="384"/>
        <v>35.361638569150244</v>
      </c>
      <c r="GG218" s="775">
        <f t="shared" si="385"/>
        <v>35.221268174220462</v>
      </c>
    </row>
    <row r="219" spans="70:189">
      <c r="BR219" s="775"/>
      <c r="BS219" s="775"/>
      <c r="BT219" s="775"/>
      <c r="BU219" s="775"/>
      <c r="BV219" s="775"/>
      <c r="BW219" s="775"/>
      <c r="BX219" s="775"/>
      <c r="BY219" s="775" t="b">
        <f t="shared" si="386"/>
        <v>0</v>
      </c>
      <c r="BZ219" s="775">
        <f t="shared" si="313"/>
        <v>34.130332803270299</v>
      </c>
      <c r="CA219" s="775">
        <v>79</v>
      </c>
      <c r="CB219" s="775">
        <f t="shared" si="394"/>
        <v>39.5</v>
      </c>
      <c r="CC219" s="673">
        <f t="shared" si="314"/>
        <v>5.3696671967297034</v>
      </c>
      <c r="CD219" s="91">
        <f t="shared" si="315"/>
        <v>2</v>
      </c>
      <c r="CE219" s="775" t="b">
        <f t="shared" si="316"/>
        <v>0</v>
      </c>
      <c r="CF219" s="673"/>
      <c r="CG219" s="775">
        <f t="shared" si="317"/>
        <v>5.3696671967297034</v>
      </c>
      <c r="CH219" s="775">
        <f t="shared" si="318"/>
        <v>3.275383400237241E-2</v>
      </c>
      <c r="CI219" s="775">
        <f t="shared" si="319"/>
        <v>2.1907058226584633E-3</v>
      </c>
      <c r="CJ219" s="775">
        <f t="shared" si="320"/>
        <v>5.2900521146508828</v>
      </c>
      <c r="CK219" s="775">
        <f t="shared" si="321"/>
        <v>2.6097139013282331</v>
      </c>
      <c r="CL219" s="775">
        <f t="shared" si="322"/>
        <v>4.7012620516795831</v>
      </c>
      <c r="CM219" s="775">
        <f t="shared" si="323"/>
        <v>9.2445117763783387</v>
      </c>
      <c r="CN219" s="775">
        <f t="shared" si="324"/>
        <v>2.51444335627236</v>
      </c>
      <c r="CO219" s="775">
        <f t="shared" si="325"/>
        <v>3.5761176129404322</v>
      </c>
      <c r="CP219" s="775">
        <f t="shared" si="326"/>
        <v>40.942292502965515</v>
      </c>
      <c r="CQ219" s="775">
        <f t="shared" si="327"/>
        <v>6.6370128445676473</v>
      </c>
      <c r="CR219" s="775">
        <f t="shared" si="387"/>
        <v>34.658537987271224</v>
      </c>
      <c r="CS219" s="775">
        <f t="shared" si="328"/>
        <v>15.753880903305101</v>
      </c>
      <c r="CT219" s="775">
        <f t="shared" si="329"/>
        <v>5.3696671967297034</v>
      </c>
      <c r="CU219" s="775">
        <f t="shared" si="330"/>
        <v>3.8598108180222437</v>
      </c>
      <c r="CV219" s="775"/>
      <c r="CW219" s="775"/>
      <c r="CX219" s="775"/>
      <c r="CY219" s="775"/>
      <c r="CZ219" s="775"/>
      <c r="DA219" s="775"/>
      <c r="DB219" s="775"/>
      <c r="DC219" s="775"/>
      <c r="DD219" s="775" t="b">
        <f t="shared" si="388"/>
        <v>0</v>
      </c>
      <c r="DE219" s="775">
        <f t="shared" si="331"/>
        <v>19.01893021612025</v>
      </c>
      <c r="DF219" s="776">
        <v>80</v>
      </c>
      <c r="DG219" s="775">
        <f t="shared" si="389"/>
        <v>10.5</v>
      </c>
      <c r="DH219" s="673">
        <f t="shared" si="332"/>
        <v>29.51893021612025</v>
      </c>
      <c r="DI219" s="673">
        <f t="shared" si="333"/>
        <v>19</v>
      </c>
      <c r="DJ219" s="775" t="b">
        <f t="shared" si="334"/>
        <v>1</v>
      </c>
      <c r="DK219" s="673"/>
      <c r="DL219" s="775">
        <f t="shared" si="335"/>
        <v>29.51893021612025</v>
      </c>
      <c r="DM219" s="775">
        <f t="shared" si="336"/>
        <v>0.17806501978778874</v>
      </c>
      <c r="DN219" s="775">
        <f t="shared" si="337"/>
        <v>2.0976154408809514E-2</v>
      </c>
      <c r="DO219" s="775">
        <f t="shared" si="338"/>
        <v>1.3537340832264935</v>
      </c>
      <c r="DP219" s="775">
        <f t="shared" si="339"/>
        <v>0.78697726280115077</v>
      </c>
      <c r="DQ219" s="775">
        <f t="shared" si="340"/>
        <v>29.248860278668818</v>
      </c>
      <c r="DR219" s="775">
        <f t="shared" si="341"/>
        <v>49.925466679025092</v>
      </c>
      <c r="DS219" s="775">
        <f t="shared" si="342"/>
        <v>24.046031673542089</v>
      </c>
      <c r="DT219" s="775">
        <f t="shared" si="343"/>
        <v>37.418516646517162</v>
      </c>
      <c r="DU219" s="775">
        <f t="shared" si="344"/>
        <v>250.00328778205539</v>
      </c>
      <c r="DV219" s="775">
        <f t="shared" si="345"/>
        <v>10.180444701277317</v>
      </c>
      <c r="DW219" s="775">
        <f t="shared" si="346"/>
        <v>6.3751993589357925</v>
      </c>
      <c r="DX219" s="775">
        <f t="shared" si="347"/>
        <v>2.89781789042536</v>
      </c>
      <c r="DY219" s="775">
        <f t="shared" si="348"/>
        <v>29.51893021612025</v>
      </c>
      <c r="DZ219" s="775">
        <f t="shared" si="349"/>
        <v>35.036381467997977</v>
      </c>
      <c r="EA219" s="775"/>
      <c r="EB219" s="775"/>
      <c r="EC219" s="775"/>
      <c r="ED219" s="775"/>
      <c r="EE219" s="775"/>
      <c r="EF219" s="775" t="b">
        <f t="shared" si="390"/>
        <v>0</v>
      </c>
      <c r="EG219" s="775">
        <f t="shared" si="350"/>
        <v>34.130332803270299</v>
      </c>
      <c r="EH219" s="775">
        <v>79</v>
      </c>
      <c r="EI219" s="775">
        <f t="shared" si="395"/>
        <v>39.5</v>
      </c>
      <c r="EJ219" s="673">
        <f t="shared" si="351"/>
        <v>5.3696671967297034</v>
      </c>
      <c r="EK219" s="673">
        <f t="shared" si="352"/>
        <v>2.2510196371999172</v>
      </c>
      <c r="EL219" s="775" t="b">
        <f t="shared" si="353"/>
        <v>0</v>
      </c>
      <c r="EM219" s="673"/>
      <c r="EN219" s="775">
        <f t="shared" si="354"/>
        <v>5.3696671967297034</v>
      </c>
      <c r="EO219" s="775">
        <f t="shared" si="355"/>
        <v>3.275383400237241E-2</v>
      </c>
      <c r="EP219" s="775">
        <f t="shared" si="356"/>
        <v>2.1907058226584633E-3</v>
      </c>
      <c r="EQ219" s="775">
        <f t="shared" si="357"/>
        <v>5.2900521146508828</v>
      </c>
      <c r="ER219" s="775">
        <f t="shared" si="358"/>
        <v>2.6097139013282331</v>
      </c>
      <c r="ES219" s="775">
        <f t="shared" si="359"/>
        <v>4.7012620516795831</v>
      </c>
      <c r="ET219" s="775">
        <f t="shared" si="360"/>
        <v>9.2445117763783387</v>
      </c>
      <c r="EU219" s="775">
        <f t="shared" si="361"/>
        <v>2.51444335627236</v>
      </c>
      <c r="EV219" s="775">
        <f t="shared" si="362"/>
        <v>3.5761176129404322</v>
      </c>
      <c r="EW219" s="775">
        <f t="shared" si="363"/>
        <v>40.942292502965515</v>
      </c>
      <c r="EX219" s="775">
        <f t="shared" si="364"/>
        <v>6.6370128445676473</v>
      </c>
      <c r="EY219" s="775">
        <f t="shared" si="391"/>
        <v>34.658537987271224</v>
      </c>
      <c r="EZ219" s="775">
        <f t="shared" si="365"/>
        <v>15.753880903305101</v>
      </c>
      <c r="FA219" s="775">
        <f t="shared" si="366"/>
        <v>5.3696671967297034</v>
      </c>
      <c r="FB219" s="775">
        <f t="shared" si="367"/>
        <v>3.8598108180222437</v>
      </c>
      <c r="FC219" s="775"/>
      <c r="FD219" s="775"/>
      <c r="FE219" s="775"/>
      <c r="FF219" s="775"/>
      <c r="FG219" s="775"/>
      <c r="FH219" s="775"/>
      <c r="FI219" s="775"/>
      <c r="FJ219" s="775"/>
      <c r="FK219" s="775" t="b">
        <f t="shared" si="392"/>
        <v>0</v>
      </c>
      <c r="FL219" s="775">
        <f t="shared" si="368"/>
        <v>24.536381467997977</v>
      </c>
      <c r="FM219" s="775">
        <v>79</v>
      </c>
      <c r="FN219" s="775">
        <f t="shared" si="393"/>
        <v>10.5</v>
      </c>
      <c r="FO219" s="673">
        <f t="shared" si="312"/>
        <v>35.036381467997977</v>
      </c>
      <c r="FP219" s="673">
        <f t="shared" si="369"/>
        <v>24.403675819467587</v>
      </c>
      <c r="FQ219" s="775" t="b">
        <f t="shared" si="370"/>
        <v>1</v>
      </c>
      <c r="FR219" s="673"/>
      <c r="FS219" s="775">
        <f t="shared" si="371"/>
        <v>35.036381467997977</v>
      </c>
      <c r="FT219" s="775">
        <f t="shared" si="372"/>
        <v>0.17806501978778874</v>
      </c>
      <c r="FU219" s="775">
        <f t="shared" si="373"/>
        <v>2.0976154408809514E-2</v>
      </c>
      <c r="FV219" s="775">
        <f t="shared" si="374"/>
        <v>1.3537340832264935</v>
      </c>
      <c r="FW219" s="775">
        <f t="shared" si="375"/>
        <v>0.78697726280115077</v>
      </c>
      <c r="FX219" s="775">
        <f t="shared" si="376"/>
        <v>37.567352859449272</v>
      </c>
      <c r="FY219" s="775">
        <f t="shared" si="377"/>
        <v>64.12446863002944</v>
      </c>
      <c r="FZ219" s="775">
        <f t="shared" si="378"/>
        <v>24.046031673542089</v>
      </c>
      <c r="GA219" s="775">
        <f t="shared" si="379"/>
        <v>37.418516646517162</v>
      </c>
      <c r="GB219" s="775">
        <f t="shared" si="380"/>
        <v>250.00328778205539</v>
      </c>
      <c r="GC219" s="775">
        <f t="shared" si="381"/>
        <v>10.180444701277317</v>
      </c>
      <c r="GD219" s="775">
        <f t="shared" si="382"/>
        <v>2.3224494571694008</v>
      </c>
      <c r="GE219" s="775">
        <f t="shared" si="383"/>
        <v>1.0556588441679093</v>
      </c>
      <c r="GF219" s="775">
        <f t="shared" si="384"/>
        <v>35.128898589176245</v>
      </c>
      <c r="GG219" s="775">
        <f t="shared" si="385"/>
        <v>35.036381467997977</v>
      </c>
    </row>
    <row r="220" spans="70:189">
      <c r="BR220" s="775"/>
      <c r="BS220" s="775"/>
      <c r="BT220" s="775"/>
      <c r="BU220" s="775"/>
      <c r="BV220" s="775"/>
      <c r="BW220" s="775"/>
      <c r="BX220" s="775"/>
      <c r="BY220" s="775" t="b">
        <f t="shared" si="386"/>
        <v>0</v>
      </c>
      <c r="BZ220" s="775">
        <f t="shared" si="313"/>
        <v>34.611170252413274</v>
      </c>
      <c r="CA220" s="775">
        <v>80</v>
      </c>
      <c r="CB220" s="775">
        <f t="shared" si="394"/>
        <v>40</v>
      </c>
      <c r="CC220" s="673">
        <f t="shared" si="314"/>
        <v>5.3888297475867271</v>
      </c>
      <c r="CD220" s="91">
        <f t="shared" si="315"/>
        <v>2</v>
      </c>
      <c r="CE220" s="775" t="b">
        <f t="shared" si="316"/>
        <v>0</v>
      </c>
      <c r="CF220" s="673"/>
      <c r="CG220" s="775">
        <f t="shared" si="317"/>
        <v>5.3888297475867271</v>
      </c>
      <c r="CH220" s="775">
        <f t="shared" si="318"/>
        <v>3.2352549167023431E-2</v>
      </c>
      <c r="CI220" s="775">
        <f t="shared" si="319"/>
        <v>2.163866307465223E-3</v>
      </c>
      <c r="CJ220" s="775">
        <f t="shared" si="320"/>
        <v>5.2936433509614975</v>
      </c>
      <c r="CK220" s="775">
        <f t="shared" si="321"/>
        <v>2.6105707333725499</v>
      </c>
      <c r="CL220" s="775">
        <f t="shared" si="322"/>
        <v>4.7157727568566123</v>
      </c>
      <c r="CM220" s="775">
        <f t="shared" si="323"/>
        <v>9.2730454729512974</v>
      </c>
      <c r="CN220" s="775">
        <f t="shared" si="324"/>
        <v>2.5185405066903215</v>
      </c>
      <c r="CO220" s="775">
        <f t="shared" si="325"/>
        <v>3.581795716214994</v>
      </c>
      <c r="CP220" s="775">
        <f t="shared" si="326"/>
        <v>40.44068645877929</v>
      </c>
      <c r="CQ220" s="775">
        <f t="shared" si="327"/>
        <v>6.5556992308286119</v>
      </c>
      <c r="CR220" s="775">
        <f t="shared" si="387"/>
        <v>35.088425154364522</v>
      </c>
      <c r="CS220" s="775">
        <f t="shared" si="328"/>
        <v>15.949284161074781</v>
      </c>
      <c r="CT220" s="775">
        <f t="shared" si="329"/>
        <v>5.3888297475867271</v>
      </c>
      <c r="CU220" s="775">
        <f t="shared" si="330"/>
        <v>3.8675513406525237</v>
      </c>
      <c r="CV220" s="775"/>
      <c r="CW220" s="775"/>
      <c r="CX220" s="775"/>
      <c r="CY220" s="775"/>
      <c r="CZ220" s="775"/>
      <c r="DA220" s="775"/>
      <c r="DB220" s="775"/>
      <c r="DC220" s="775"/>
      <c r="DD220" s="775" t="b">
        <f t="shared" si="388"/>
        <v>0</v>
      </c>
      <c r="DE220" s="775">
        <f t="shared" si="331"/>
        <v>19.295363817405331</v>
      </c>
      <c r="DF220" s="776">
        <v>81</v>
      </c>
      <c r="DG220" s="775">
        <f t="shared" si="389"/>
        <v>10</v>
      </c>
      <c r="DH220" s="673">
        <f t="shared" si="332"/>
        <v>29.295363817405331</v>
      </c>
      <c r="DI220" s="673">
        <f t="shared" si="333"/>
        <v>19</v>
      </c>
      <c r="DJ220" s="775" t="b">
        <f t="shared" si="334"/>
        <v>1</v>
      </c>
      <c r="DK220" s="673"/>
      <c r="DL220" s="775">
        <f t="shared" si="335"/>
        <v>29.295363817405331</v>
      </c>
      <c r="DM220" s="775">
        <f t="shared" si="336"/>
        <v>0.18566833446851136</v>
      </c>
      <c r="DN220" s="775">
        <f t="shared" si="337"/>
        <v>2.1871828937988114E-2</v>
      </c>
      <c r="DO220" s="775">
        <f t="shared" si="338"/>
        <v>1.3366059614498953</v>
      </c>
      <c r="DP220" s="775">
        <f t="shared" si="339"/>
        <v>0.7811373669619549</v>
      </c>
      <c r="DQ220" s="775">
        <f t="shared" si="340"/>
        <v>28.944705859006774</v>
      </c>
      <c r="DR220" s="775">
        <f t="shared" si="341"/>
        <v>49.406299395259509</v>
      </c>
      <c r="DS220" s="775">
        <f t="shared" si="342"/>
        <v>23.831625821399857</v>
      </c>
      <c r="DT220" s="775">
        <f t="shared" si="343"/>
        <v>37.108170842181437</v>
      </c>
      <c r="DU220" s="775">
        <f t="shared" si="344"/>
        <v>260.67834159378992</v>
      </c>
      <c r="DV220" s="775">
        <f t="shared" si="345"/>
        <v>10.615146164516728</v>
      </c>
      <c r="DW220" s="775">
        <f t="shared" si="346"/>
        <v>6.1141282020415044</v>
      </c>
      <c r="DX220" s="775">
        <f t="shared" si="347"/>
        <v>2.7791491827461381</v>
      </c>
      <c r="DY220" s="775">
        <f t="shared" si="348"/>
        <v>29.295363817405331</v>
      </c>
      <c r="DZ220" s="775">
        <f t="shared" si="349"/>
        <v>34.842618074512579</v>
      </c>
      <c r="EA220" s="775"/>
      <c r="EB220" s="775"/>
      <c r="EC220" s="775"/>
      <c r="ED220" s="775"/>
      <c r="EE220" s="775"/>
      <c r="EF220" s="775" t="b">
        <f t="shared" si="390"/>
        <v>0</v>
      </c>
      <c r="EG220" s="775">
        <f t="shared" si="350"/>
        <v>34.611170252413274</v>
      </c>
      <c r="EH220" s="775">
        <v>80</v>
      </c>
      <c r="EI220" s="775">
        <f t="shared" si="395"/>
        <v>40</v>
      </c>
      <c r="EJ220" s="673">
        <f t="shared" si="351"/>
        <v>5.3888297475867271</v>
      </c>
      <c r="EK220" s="673">
        <f t="shared" si="352"/>
        <v>2.2510196371999172</v>
      </c>
      <c r="EL220" s="775" t="b">
        <f t="shared" si="353"/>
        <v>0</v>
      </c>
      <c r="EM220" s="673"/>
      <c r="EN220" s="775">
        <f t="shared" si="354"/>
        <v>5.3888297475867271</v>
      </c>
      <c r="EO220" s="775">
        <f t="shared" si="355"/>
        <v>3.2352549167023431E-2</v>
      </c>
      <c r="EP220" s="775">
        <f t="shared" si="356"/>
        <v>2.163866307465223E-3</v>
      </c>
      <c r="EQ220" s="775">
        <f t="shared" si="357"/>
        <v>5.2936433509614975</v>
      </c>
      <c r="ER220" s="775">
        <f t="shared" si="358"/>
        <v>2.6105707333725499</v>
      </c>
      <c r="ES220" s="775">
        <f t="shared" si="359"/>
        <v>4.7157727568566123</v>
      </c>
      <c r="ET220" s="775">
        <f t="shared" si="360"/>
        <v>9.2730454729512974</v>
      </c>
      <c r="EU220" s="775">
        <f t="shared" si="361"/>
        <v>2.5185405066903215</v>
      </c>
      <c r="EV220" s="775">
        <f t="shared" si="362"/>
        <v>3.581795716214994</v>
      </c>
      <c r="EW220" s="775">
        <f t="shared" si="363"/>
        <v>40.44068645877929</v>
      </c>
      <c r="EX220" s="775">
        <f t="shared" si="364"/>
        <v>6.5556992308286119</v>
      </c>
      <c r="EY220" s="775">
        <f t="shared" si="391"/>
        <v>35.088425154364522</v>
      </c>
      <c r="EZ220" s="775">
        <f t="shared" si="365"/>
        <v>15.949284161074781</v>
      </c>
      <c r="FA220" s="775">
        <f t="shared" si="366"/>
        <v>5.3888297475867271</v>
      </c>
      <c r="FB220" s="775">
        <f t="shared" si="367"/>
        <v>3.8675513406525237</v>
      </c>
      <c r="FC220" s="775"/>
      <c r="FD220" s="775"/>
      <c r="FE220" s="775"/>
      <c r="FF220" s="775"/>
      <c r="FG220" s="775"/>
      <c r="FH220" s="775"/>
      <c r="FI220" s="775"/>
      <c r="FJ220" s="775"/>
      <c r="FK220" s="775" t="b">
        <f t="shared" si="392"/>
        <v>0</v>
      </c>
      <c r="FL220" s="775">
        <f t="shared" si="368"/>
        <v>24.842618074512579</v>
      </c>
      <c r="FM220" s="775">
        <v>80</v>
      </c>
      <c r="FN220" s="775">
        <f t="shared" si="393"/>
        <v>10</v>
      </c>
      <c r="FO220" s="673">
        <f t="shared" si="312"/>
        <v>34.842618074512579</v>
      </c>
      <c r="FP220" s="673">
        <f t="shared" si="369"/>
        <v>24.403675819467587</v>
      </c>
      <c r="FQ220" s="775" t="b">
        <f t="shared" si="370"/>
        <v>1</v>
      </c>
      <c r="FR220" s="673"/>
      <c r="FS220" s="775">
        <f t="shared" si="371"/>
        <v>34.842618074512579</v>
      </c>
      <c r="FT220" s="775">
        <f t="shared" si="372"/>
        <v>0.18566833446851136</v>
      </c>
      <c r="FU220" s="775">
        <f t="shared" si="373"/>
        <v>2.1871828937988114E-2</v>
      </c>
      <c r="FV220" s="775">
        <f t="shared" si="374"/>
        <v>1.3366059614498953</v>
      </c>
      <c r="FW220" s="775">
        <f t="shared" si="375"/>
        <v>0.7811373669619549</v>
      </c>
      <c r="FX220" s="775">
        <f t="shared" si="376"/>
        <v>37.176695709107655</v>
      </c>
      <c r="FY220" s="775">
        <f t="shared" si="377"/>
        <v>63.457648099024766</v>
      </c>
      <c r="FZ220" s="775">
        <f t="shared" si="378"/>
        <v>23.831625821399857</v>
      </c>
      <c r="GA220" s="775">
        <f t="shared" si="379"/>
        <v>37.108170842181437</v>
      </c>
      <c r="GB220" s="775">
        <f t="shared" si="380"/>
        <v>260.67834159378992</v>
      </c>
      <c r="GC220" s="775">
        <f t="shared" si="381"/>
        <v>10.615146164516728</v>
      </c>
      <c r="GD220" s="775">
        <f t="shared" si="382"/>
        <v>2.227342695408002</v>
      </c>
      <c r="GE220" s="775">
        <f t="shared" si="383"/>
        <v>1.012428497912728</v>
      </c>
      <c r="GF220" s="775">
        <f t="shared" si="384"/>
        <v>34.885500718260253</v>
      </c>
      <c r="GG220" s="775">
        <f t="shared" si="385"/>
        <v>34.842618074512579</v>
      </c>
    </row>
    <row r="221" spans="70:189">
      <c r="BR221" s="775"/>
      <c r="BS221" s="775"/>
      <c r="BT221" s="775"/>
      <c r="BU221" s="775"/>
      <c r="BV221" s="775"/>
      <c r="BW221" s="775"/>
      <c r="BX221" s="775"/>
      <c r="BY221" s="775" t="b">
        <f t="shared" si="386"/>
        <v>0</v>
      </c>
      <c r="BZ221" s="775">
        <f t="shared" si="313"/>
        <v>35.092195354118317</v>
      </c>
      <c r="CA221" s="775">
        <v>81</v>
      </c>
      <c r="CB221" s="775">
        <f t="shared" si="394"/>
        <v>40.5</v>
      </c>
      <c r="CC221" s="673">
        <f t="shared" si="314"/>
        <v>5.4078046458816837</v>
      </c>
      <c r="CD221" s="91">
        <f t="shared" si="315"/>
        <v>2</v>
      </c>
      <c r="CE221" s="775" t="b">
        <f t="shared" si="316"/>
        <v>0</v>
      </c>
      <c r="CF221" s="673"/>
      <c r="CG221" s="775">
        <f t="shared" si="317"/>
        <v>5.4078046458816837</v>
      </c>
      <c r="CH221" s="775">
        <f t="shared" si="318"/>
        <v>3.1961074735219155E-2</v>
      </c>
      <c r="CI221" s="775">
        <f t="shared" si="319"/>
        <v>2.1376829508202139E-3</v>
      </c>
      <c r="CJ221" s="775">
        <f t="shared" si="320"/>
        <v>5.2971529052518198</v>
      </c>
      <c r="CK221" s="775">
        <f t="shared" si="321"/>
        <v>2.611407431814122</v>
      </c>
      <c r="CL221" s="775">
        <f t="shared" si="322"/>
        <v>4.7301471565668631</v>
      </c>
      <c r="CM221" s="775">
        <f t="shared" si="323"/>
        <v>9.3013111399017951</v>
      </c>
      <c r="CN221" s="775">
        <f t="shared" si="324"/>
        <v>2.5225926847131803</v>
      </c>
      <c r="CO221" s="775">
        <f t="shared" si="325"/>
        <v>3.5874116507635443</v>
      </c>
      <c r="CP221" s="775">
        <f t="shared" si="326"/>
        <v>39.951343419023942</v>
      </c>
      <c r="CQ221" s="775">
        <f t="shared" si="327"/>
        <v>6.4763735301483001</v>
      </c>
      <c r="CR221" s="775">
        <f t="shared" si="387"/>
        <v>35.518204860272697</v>
      </c>
      <c r="CS221" s="775">
        <f t="shared" si="328"/>
        <v>16.144638572851225</v>
      </c>
      <c r="CT221" s="775">
        <f t="shared" si="329"/>
        <v>5.4078046458816837</v>
      </c>
      <c r="CU221" s="775">
        <f t="shared" si="330"/>
        <v>3.8752058874974376</v>
      </c>
      <c r="CV221" s="775"/>
      <c r="CW221" s="775"/>
      <c r="CX221" s="775"/>
      <c r="CY221" s="775"/>
      <c r="CZ221" s="775"/>
      <c r="DA221" s="775"/>
      <c r="DB221" s="775"/>
      <c r="DC221" s="775"/>
      <c r="DD221" s="775" t="b">
        <f t="shared" si="388"/>
        <v>0</v>
      </c>
      <c r="DE221" s="775">
        <f t="shared" si="331"/>
        <v>19.561324199455637</v>
      </c>
      <c r="DF221" s="776">
        <v>82</v>
      </c>
      <c r="DG221" s="775">
        <f t="shared" si="389"/>
        <v>9.5</v>
      </c>
      <c r="DH221" s="673">
        <f t="shared" si="332"/>
        <v>29.061324199455637</v>
      </c>
      <c r="DI221" s="673">
        <f t="shared" si="333"/>
        <v>19</v>
      </c>
      <c r="DJ221" s="775" t="b">
        <f t="shared" si="334"/>
        <v>1</v>
      </c>
      <c r="DK221" s="673"/>
      <c r="DL221" s="775">
        <f t="shared" si="335"/>
        <v>29.061324199455637</v>
      </c>
      <c r="DM221" s="775">
        <f t="shared" si="336"/>
        <v>0.19401205324917312</v>
      </c>
      <c r="DN221" s="775">
        <f t="shared" si="337"/>
        <v>2.2854723465478274E-2</v>
      </c>
      <c r="DO221" s="775">
        <f t="shared" si="338"/>
        <v>1.3184444190087437</v>
      </c>
      <c r="DP221" s="775">
        <f t="shared" si="339"/>
        <v>0.77487604031971191</v>
      </c>
      <c r="DQ221" s="775">
        <f t="shared" si="340"/>
        <v>28.628356913647195</v>
      </c>
      <c r="DR221" s="775">
        <f t="shared" si="341"/>
        <v>48.866317030818024</v>
      </c>
      <c r="DS221" s="775">
        <f t="shared" si="342"/>
        <v>23.60799758054365</v>
      </c>
      <c r="DT221" s="775">
        <f t="shared" si="343"/>
        <v>36.784155819584704</v>
      </c>
      <c r="DU221" s="775">
        <f t="shared" si="344"/>
        <v>272.39292276183903</v>
      </c>
      <c r="DV221" s="775">
        <f t="shared" si="345"/>
        <v>11.092178474123454</v>
      </c>
      <c r="DW221" s="775">
        <f t="shared" si="346"/>
        <v>5.8511828568817963</v>
      </c>
      <c r="DX221" s="775">
        <f t="shared" si="347"/>
        <v>2.659628571309907</v>
      </c>
      <c r="DY221" s="775">
        <f t="shared" si="348"/>
        <v>29.061324199455637</v>
      </c>
      <c r="DZ221" s="775">
        <f t="shared" si="349"/>
        <v>34.639083155901737</v>
      </c>
      <c r="EA221" s="775"/>
      <c r="EB221" s="775"/>
      <c r="EC221" s="775"/>
      <c r="ED221" s="775"/>
      <c r="EE221" s="775"/>
      <c r="EF221" s="775" t="b">
        <f t="shared" si="390"/>
        <v>0</v>
      </c>
      <c r="EG221" s="775">
        <f t="shared" si="350"/>
        <v>35.092195354118317</v>
      </c>
      <c r="EH221" s="775">
        <v>81</v>
      </c>
      <c r="EI221" s="775">
        <f t="shared" si="395"/>
        <v>40.5</v>
      </c>
      <c r="EJ221" s="673">
        <f t="shared" si="351"/>
        <v>5.4078046458816837</v>
      </c>
      <c r="EK221" s="673">
        <f t="shared" si="352"/>
        <v>2.2510196371999172</v>
      </c>
      <c r="EL221" s="775" t="b">
        <f t="shared" si="353"/>
        <v>0</v>
      </c>
      <c r="EM221" s="673"/>
      <c r="EN221" s="775">
        <f t="shared" si="354"/>
        <v>5.4078046458816837</v>
      </c>
      <c r="EO221" s="775">
        <f t="shared" si="355"/>
        <v>3.1961074735219155E-2</v>
      </c>
      <c r="EP221" s="775">
        <f t="shared" si="356"/>
        <v>2.1376829508202139E-3</v>
      </c>
      <c r="EQ221" s="775">
        <f t="shared" si="357"/>
        <v>5.2971529052518198</v>
      </c>
      <c r="ER221" s="775">
        <f t="shared" si="358"/>
        <v>2.611407431814122</v>
      </c>
      <c r="ES221" s="775">
        <f t="shared" si="359"/>
        <v>4.7301471565668631</v>
      </c>
      <c r="ET221" s="775">
        <f t="shared" si="360"/>
        <v>9.3013111399017951</v>
      </c>
      <c r="EU221" s="775">
        <f t="shared" si="361"/>
        <v>2.5225926847131803</v>
      </c>
      <c r="EV221" s="775">
        <f t="shared" si="362"/>
        <v>3.5874116507635443</v>
      </c>
      <c r="EW221" s="775">
        <f t="shared" si="363"/>
        <v>39.951343419023942</v>
      </c>
      <c r="EX221" s="775">
        <f t="shared" si="364"/>
        <v>6.4763735301483001</v>
      </c>
      <c r="EY221" s="775">
        <f t="shared" si="391"/>
        <v>35.518204860272697</v>
      </c>
      <c r="EZ221" s="775">
        <f t="shared" si="365"/>
        <v>16.144638572851225</v>
      </c>
      <c r="FA221" s="775">
        <f t="shared" si="366"/>
        <v>5.4078046458816837</v>
      </c>
      <c r="FB221" s="775">
        <f t="shared" si="367"/>
        <v>3.8752058874974376</v>
      </c>
      <c r="FC221" s="775"/>
      <c r="FD221" s="775"/>
      <c r="FE221" s="775"/>
      <c r="FF221" s="775"/>
      <c r="FG221" s="775"/>
      <c r="FH221" s="775"/>
      <c r="FI221" s="775"/>
      <c r="FJ221" s="775"/>
      <c r="FK221" s="775" t="b">
        <f t="shared" si="392"/>
        <v>0</v>
      </c>
      <c r="FL221" s="775">
        <f t="shared" si="368"/>
        <v>25.139083155901737</v>
      </c>
      <c r="FM221" s="775">
        <v>81</v>
      </c>
      <c r="FN221" s="775">
        <f t="shared" si="393"/>
        <v>9.5</v>
      </c>
      <c r="FO221" s="673">
        <f t="shared" si="312"/>
        <v>34.639083155901737</v>
      </c>
      <c r="FP221" s="673">
        <f t="shared" si="369"/>
        <v>24.403675819467587</v>
      </c>
      <c r="FQ221" s="775" t="b">
        <f t="shared" si="370"/>
        <v>1</v>
      </c>
      <c r="FR221" s="673"/>
      <c r="FS221" s="775">
        <f t="shared" si="371"/>
        <v>34.639083155901737</v>
      </c>
      <c r="FT221" s="775">
        <f t="shared" si="372"/>
        <v>0.19401205324917312</v>
      </c>
      <c r="FU221" s="775">
        <f t="shared" si="373"/>
        <v>2.2854723465478274E-2</v>
      </c>
      <c r="FV221" s="775">
        <f t="shared" si="374"/>
        <v>1.3184444190087437</v>
      </c>
      <c r="FW221" s="775">
        <f t="shared" si="375"/>
        <v>0.77487604031971191</v>
      </c>
      <c r="FX221" s="775">
        <f t="shared" si="376"/>
        <v>36.770375861297886</v>
      </c>
      <c r="FY221" s="775">
        <f t="shared" si="377"/>
        <v>62.764092595337416</v>
      </c>
      <c r="FZ221" s="775">
        <f t="shared" si="378"/>
        <v>23.60799758054365</v>
      </c>
      <c r="GA221" s="775">
        <f t="shared" si="379"/>
        <v>36.784155819584704</v>
      </c>
      <c r="GB221" s="775">
        <f t="shared" si="380"/>
        <v>272.39292276183903</v>
      </c>
      <c r="GC221" s="775">
        <f t="shared" si="381"/>
        <v>11.092178474123454</v>
      </c>
      <c r="GD221" s="775">
        <f t="shared" si="382"/>
        <v>2.1315531773476093</v>
      </c>
      <c r="GE221" s="775">
        <f t="shared" si="383"/>
        <v>0.96888780788527684</v>
      </c>
      <c r="GF221" s="775">
        <f t="shared" si="384"/>
        <v>34.630398874377832</v>
      </c>
      <c r="GG221" s="775">
        <f t="shared" si="385"/>
        <v>34.639083155901737</v>
      </c>
    </row>
    <row r="222" spans="70:189">
      <c r="BR222" s="775"/>
      <c r="BS222" s="775"/>
      <c r="BT222" s="775"/>
      <c r="BU222" s="775"/>
      <c r="BV222" s="775"/>
      <c r="BW222" s="775"/>
      <c r="BX222" s="775"/>
      <c r="BY222" s="775" t="b">
        <f t="shared" si="386"/>
        <v>0</v>
      </c>
      <c r="BZ222" s="775">
        <f t="shared" si="313"/>
        <v>35.573404009022539</v>
      </c>
      <c r="CA222" s="775">
        <v>82</v>
      </c>
      <c r="CB222" s="775">
        <f t="shared" si="394"/>
        <v>41</v>
      </c>
      <c r="CC222" s="673">
        <f t="shared" si="314"/>
        <v>5.4265959909774617</v>
      </c>
      <c r="CD222" s="91">
        <f t="shared" si="315"/>
        <v>2</v>
      </c>
      <c r="CE222" s="775" t="b">
        <f t="shared" si="316"/>
        <v>0</v>
      </c>
      <c r="CF222" s="673"/>
      <c r="CG222" s="775">
        <f t="shared" si="317"/>
        <v>5.4265959909774617</v>
      </c>
      <c r="CH222" s="775">
        <f t="shared" si="318"/>
        <v>3.1579054138695779E-2</v>
      </c>
      <c r="CI222" s="775">
        <f t="shared" si="319"/>
        <v>2.1121319040292154E-3</v>
      </c>
      <c r="CJ222" s="775">
        <f t="shared" si="320"/>
        <v>5.3005835444780685</v>
      </c>
      <c r="CK222" s="775">
        <f t="shared" si="321"/>
        <v>2.6122247006459145</v>
      </c>
      <c r="CL222" s="775">
        <f t="shared" si="322"/>
        <v>4.7443881905238108</v>
      </c>
      <c r="CM222" s="775">
        <f t="shared" si="323"/>
        <v>9.3293145578511876</v>
      </c>
      <c r="CN222" s="775">
        <f t="shared" si="324"/>
        <v>2.5266009307276791</v>
      </c>
      <c r="CO222" s="775">
        <f t="shared" si="325"/>
        <v>3.5929668528771082</v>
      </c>
      <c r="CP222" s="775">
        <f t="shared" si="326"/>
        <v>39.473817673369723</v>
      </c>
      <c r="CQ222" s="775">
        <f t="shared" si="327"/>
        <v>6.3989634899731138</v>
      </c>
      <c r="CR222" s="775">
        <f t="shared" si="387"/>
        <v>35.947878458112804</v>
      </c>
      <c r="CS222" s="775">
        <f t="shared" si="328"/>
        <v>16.339944753687636</v>
      </c>
      <c r="CT222" s="775">
        <f t="shared" si="329"/>
        <v>5.4265959909774617</v>
      </c>
      <c r="CU222" s="775">
        <f t="shared" si="330"/>
        <v>3.8827764565402982</v>
      </c>
      <c r="CV222" s="775"/>
      <c r="CW222" s="775"/>
      <c r="CX222" s="775"/>
      <c r="CY222" s="775"/>
      <c r="CZ222" s="775"/>
      <c r="DA222" s="775"/>
      <c r="DB222" s="775"/>
      <c r="DC222" s="775"/>
      <c r="DD222" s="775" t="b">
        <f t="shared" si="388"/>
        <v>0</v>
      </c>
      <c r="DE222" s="775">
        <f t="shared" si="331"/>
        <v>19.815741719196271</v>
      </c>
      <c r="DF222" s="776">
        <v>83</v>
      </c>
      <c r="DG222" s="775">
        <f t="shared" si="389"/>
        <v>9</v>
      </c>
      <c r="DH222" s="673">
        <f t="shared" si="332"/>
        <v>28.815741719196271</v>
      </c>
      <c r="DI222" s="673">
        <f t="shared" si="333"/>
        <v>19</v>
      </c>
      <c r="DJ222" s="775" t="b">
        <f t="shared" si="334"/>
        <v>1</v>
      </c>
      <c r="DK222" s="673"/>
      <c r="DL222" s="775">
        <f t="shared" si="335"/>
        <v>28.815741719196271</v>
      </c>
      <c r="DM222" s="775">
        <f t="shared" si="336"/>
        <v>0.20321324504991989</v>
      </c>
      <c r="DN222" s="775">
        <f t="shared" si="337"/>
        <v>2.3938628772582127E-2</v>
      </c>
      <c r="DO222" s="775">
        <f t="shared" si="338"/>
        <v>1.299143144155271</v>
      </c>
      <c r="DP222" s="775">
        <f t="shared" si="339"/>
        <v>0.76814283246701598</v>
      </c>
      <c r="DQ222" s="775">
        <f t="shared" si="340"/>
        <v>28.298642206630518</v>
      </c>
      <c r="DR222" s="775">
        <f t="shared" si="341"/>
        <v>48.303520379532742</v>
      </c>
      <c r="DS222" s="775">
        <f t="shared" si="342"/>
        <v>23.374236869710799</v>
      </c>
      <c r="DT222" s="775">
        <f t="shared" si="343"/>
        <v>36.445107479098525</v>
      </c>
      <c r="DU222" s="775">
        <f t="shared" si="344"/>
        <v>285.31139605008752</v>
      </c>
      <c r="DV222" s="775">
        <f t="shared" si="345"/>
        <v>11.618234767633453</v>
      </c>
      <c r="DW222" s="775">
        <f t="shared" si="346"/>
        <v>5.5862500484214745</v>
      </c>
      <c r="DX222" s="775">
        <f t="shared" si="347"/>
        <v>2.5392045674643065</v>
      </c>
      <c r="DY222" s="775">
        <f t="shared" si="348"/>
        <v>28.815741719196271</v>
      </c>
      <c r="DZ222" s="775">
        <f t="shared" si="349"/>
        <v>34.424738920880387</v>
      </c>
      <c r="EA222" s="775"/>
      <c r="EB222" s="775"/>
      <c r="EC222" s="775"/>
      <c r="ED222" s="775"/>
      <c r="EE222" s="775"/>
      <c r="EF222" s="775" t="b">
        <f t="shared" si="390"/>
        <v>0</v>
      </c>
      <c r="EG222" s="775">
        <f t="shared" si="350"/>
        <v>35.573404009022539</v>
      </c>
      <c r="EH222" s="775">
        <v>82</v>
      </c>
      <c r="EI222" s="775">
        <f t="shared" si="395"/>
        <v>41</v>
      </c>
      <c r="EJ222" s="673">
        <f t="shared" si="351"/>
        <v>5.4265959909774617</v>
      </c>
      <c r="EK222" s="673">
        <f t="shared" si="352"/>
        <v>2.2510196371999172</v>
      </c>
      <c r="EL222" s="775" t="b">
        <f t="shared" si="353"/>
        <v>0</v>
      </c>
      <c r="EM222" s="673"/>
      <c r="EN222" s="775">
        <f t="shared" si="354"/>
        <v>5.4265959909774617</v>
      </c>
      <c r="EO222" s="775">
        <f t="shared" si="355"/>
        <v>3.1579054138695779E-2</v>
      </c>
      <c r="EP222" s="775">
        <f t="shared" si="356"/>
        <v>2.1121319040292154E-3</v>
      </c>
      <c r="EQ222" s="775">
        <f t="shared" si="357"/>
        <v>5.3005835444780685</v>
      </c>
      <c r="ER222" s="775">
        <f t="shared" si="358"/>
        <v>2.6122247006459145</v>
      </c>
      <c r="ES222" s="775">
        <f t="shared" si="359"/>
        <v>4.7443881905238108</v>
      </c>
      <c r="ET222" s="775">
        <f t="shared" si="360"/>
        <v>9.3293145578511876</v>
      </c>
      <c r="EU222" s="775">
        <f t="shared" si="361"/>
        <v>2.5266009307276791</v>
      </c>
      <c r="EV222" s="775">
        <f t="shared" si="362"/>
        <v>3.5929668528771082</v>
      </c>
      <c r="EW222" s="775">
        <f t="shared" si="363"/>
        <v>39.473817673369723</v>
      </c>
      <c r="EX222" s="775">
        <f t="shared" si="364"/>
        <v>6.3989634899731138</v>
      </c>
      <c r="EY222" s="775">
        <f t="shared" si="391"/>
        <v>35.947878458112804</v>
      </c>
      <c r="EZ222" s="775">
        <f t="shared" si="365"/>
        <v>16.339944753687636</v>
      </c>
      <c r="FA222" s="775">
        <f t="shared" si="366"/>
        <v>5.4265959909774617</v>
      </c>
      <c r="FB222" s="775">
        <f t="shared" si="367"/>
        <v>3.8827764565402982</v>
      </c>
      <c r="FC222" s="775"/>
      <c r="FD222" s="775"/>
      <c r="FE222" s="775"/>
      <c r="FF222" s="775"/>
      <c r="FG222" s="775"/>
      <c r="FH222" s="775"/>
      <c r="FI222" s="775"/>
      <c r="FJ222" s="775"/>
      <c r="FK222" s="775" t="b">
        <f t="shared" si="392"/>
        <v>0</v>
      </c>
      <c r="FL222" s="775">
        <f t="shared" si="368"/>
        <v>25.424738920880387</v>
      </c>
      <c r="FM222" s="775">
        <v>82</v>
      </c>
      <c r="FN222" s="775">
        <f t="shared" si="393"/>
        <v>9</v>
      </c>
      <c r="FO222" s="673">
        <f t="shared" si="312"/>
        <v>34.424738920880387</v>
      </c>
      <c r="FP222" s="673">
        <f t="shared" si="369"/>
        <v>24.403675819467587</v>
      </c>
      <c r="FQ222" s="775" t="b">
        <f t="shared" si="370"/>
        <v>1</v>
      </c>
      <c r="FR222" s="673"/>
      <c r="FS222" s="775">
        <f t="shared" si="371"/>
        <v>34.424738920880387</v>
      </c>
      <c r="FT222" s="775">
        <f t="shared" si="372"/>
        <v>0.20321324504991989</v>
      </c>
      <c r="FU222" s="775">
        <f t="shared" si="373"/>
        <v>2.3938628772582127E-2</v>
      </c>
      <c r="FV222" s="775">
        <f t="shared" si="374"/>
        <v>1.299143144155271</v>
      </c>
      <c r="FW222" s="775">
        <f t="shared" si="375"/>
        <v>0.76814283246701598</v>
      </c>
      <c r="FX222" s="775">
        <f t="shared" si="376"/>
        <v>36.346888975879686</v>
      </c>
      <c r="FY222" s="775">
        <f t="shared" si="377"/>
        <v>62.041234330587528</v>
      </c>
      <c r="FZ222" s="775">
        <f t="shared" si="378"/>
        <v>23.374236869710799</v>
      </c>
      <c r="GA222" s="775">
        <f t="shared" si="379"/>
        <v>36.445107479098525</v>
      </c>
      <c r="GB222" s="775">
        <f t="shared" si="380"/>
        <v>285.31139605008752</v>
      </c>
      <c r="GC222" s="775">
        <f t="shared" si="381"/>
        <v>11.618234767633453</v>
      </c>
      <c r="GD222" s="775">
        <f t="shared" si="382"/>
        <v>2.0350396375266762</v>
      </c>
      <c r="GE222" s="775">
        <f t="shared" si="383"/>
        <v>0.92501801705758002</v>
      </c>
      <c r="GF222" s="775">
        <f t="shared" si="384"/>
        <v>34.3623829327015</v>
      </c>
      <c r="GG222" s="775">
        <f t="shared" si="385"/>
        <v>34.424738920880387</v>
      </c>
    </row>
    <row r="223" spans="70:189">
      <c r="BR223" s="775"/>
      <c r="BS223" s="775"/>
      <c r="BT223" s="775"/>
      <c r="BU223" s="775"/>
      <c r="BV223" s="775"/>
      <c r="BW223" s="775"/>
      <c r="BX223" s="775"/>
      <c r="BY223" s="775" t="b">
        <f t="shared" si="386"/>
        <v>0</v>
      </c>
      <c r="BZ223" s="775">
        <f t="shared" si="313"/>
        <v>36.054792255839686</v>
      </c>
      <c r="CA223" s="775">
        <v>83</v>
      </c>
      <c r="CB223" s="775">
        <f t="shared" si="394"/>
        <v>41.5</v>
      </c>
      <c r="CC223" s="673">
        <f t="shared" si="314"/>
        <v>5.4452077441603102</v>
      </c>
      <c r="CD223" s="91">
        <f t="shared" si="315"/>
        <v>2</v>
      </c>
      <c r="CE223" s="775" t="b">
        <f t="shared" si="316"/>
        <v>0</v>
      </c>
      <c r="CF223" s="673"/>
      <c r="CG223" s="775">
        <f t="shared" si="317"/>
        <v>5.4452077441603102</v>
      </c>
      <c r="CH223" s="775">
        <f t="shared" si="318"/>
        <v>3.1206147909363543E-2</v>
      </c>
      <c r="CI223" s="775">
        <f t="shared" si="319"/>
        <v>2.0871904621252058E-3</v>
      </c>
      <c r="CJ223" s="775">
        <f t="shared" si="320"/>
        <v>5.3039379117216878</v>
      </c>
      <c r="CK223" s="775">
        <f t="shared" si="321"/>
        <v>2.6130232113538394</v>
      </c>
      <c r="CL223" s="775">
        <f t="shared" si="322"/>
        <v>4.758498700120593</v>
      </c>
      <c r="CM223" s="775">
        <f t="shared" si="323"/>
        <v>9.3570613140847723</v>
      </c>
      <c r="CN223" s="775">
        <f t="shared" si="324"/>
        <v>2.5305662487171685</v>
      </c>
      <c r="CO223" s="775">
        <f t="shared" si="325"/>
        <v>3.5984627086358567</v>
      </c>
      <c r="CP223" s="775">
        <f t="shared" si="326"/>
        <v>39.007684886704432</v>
      </c>
      <c r="CQ223" s="775">
        <f t="shared" si="327"/>
        <v>6.323400322811735</v>
      </c>
      <c r="CR223" s="775">
        <f t="shared" si="387"/>
        <v>36.377447267670554</v>
      </c>
      <c r="CS223" s="775">
        <f t="shared" si="328"/>
        <v>16.535203303486615</v>
      </c>
      <c r="CT223" s="775">
        <f t="shared" si="329"/>
        <v>5.4452077441603102</v>
      </c>
      <c r="CU223" s="775">
        <f t="shared" si="330"/>
        <v>3.8902649756669589</v>
      </c>
      <c r="CV223" s="775"/>
      <c r="CW223" s="775"/>
      <c r="CX223" s="775"/>
      <c r="CY223" s="775"/>
      <c r="CZ223" s="775"/>
      <c r="DA223" s="775"/>
      <c r="DB223" s="775"/>
      <c r="DC223" s="775"/>
      <c r="DD223" s="775" t="b">
        <f t="shared" si="388"/>
        <v>0</v>
      </c>
      <c r="DE223" s="775">
        <f t="shared" si="331"/>
        <v>20.057370878954213</v>
      </c>
      <c r="DF223" s="776">
        <v>84</v>
      </c>
      <c r="DG223" s="775">
        <f t="shared" si="389"/>
        <v>8.5</v>
      </c>
      <c r="DH223" s="673">
        <f t="shared" si="332"/>
        <v>28.557370878954213</v>
      </c>
      <c r="DI223" s="673">
        <f t="shared" si="333"/>
        <v>19</v>
      </c>
      <c r="DJ223" s="775" t="b">
        <f t="shared" si="334"/>
        <v>1</v>
      </c>
      <c r="DK223" s="673"/>
      <c r="DL223" s="775">
        <f t="shared" si="335"/>
        <v>28.557370878954213</v>
      </c>
      <c r="DM223" s="775">
        <f t="shared" si="336"/>
        <v>0.21341543315639569</v>
      </c>
      <c r="DN223" s="775">
        <f t="shared" si="337"/>
        <v>2.5140451978982781E-2</v>
      </c>
      <c r="DO223" s="775">
        <f t="shared" si="338"/>
        <v>1.278579509482682</v>
      </c>
      <c r="DP223" s="775">
        <f t="shared" si="339"/>
        <v>0.76087850980503702</v>
      </c>
      <c r="DQ223" s="775">
        <f t="shared" si="340"/>
        <v>27.954204979214143</v>
      </c>
      <c r="DR223" s="775">
        <f t="shared" si="341"/>
        <v>47.715593562673739</v>
      </c>
      <c r="DS223" s="775">
        <f t="shared" si="342"/>
        <v>23.129287075757265</v>
      </c>
      <c r="DT223" s="775">
        <f t="shared" si="343"/>
        <v>36.089440482176087</v>
      </c>
      <c r="DU223" s="775">
        <f t="shared" si="344"/>
        <v>299.63526815157957</v>
      </c>
      <c r="DV223" s="775">
        <f t="shared" si="345"/>
        <v>12.201520648115684</v>
      </c>
      <c r="DW223" s="775">
        <f t="shared" si="346"/>
        <v>5.3192029424043552</v>
      </c>
      <c r="DX223" s="775">
        <f t="shared" si="347"/>
        <v>2.4178195192747065</v>
      </c>
      <c r="DY223" s="775">
        <f t="shared" si="348"/>
        <v>28.557370878954213</v>
      </c>
      <c r="DZ223" s="775">
        <f t="shared" si="349"/>
        <v>34.198372370404137</v>
      </c>
      <c r="EA223" s="775"/>
      <c r="EB223" s="775"/>
      <c r="EC223" s="775"/>
      <c r="ED223" s="775"/>
      <c r="EE223" s="775"/>
      <c r="EF223" s="775" t="b">
        <f t="shared" si="390"/>
        <v>0</v>
      </c>
      <c r="EG223" s="775">
        <f t="shared" si="350"/>
        <v>36.054792255839686</v>
      </c>
      <c r="EH223" s="775">
        <v>83</v>
      </c>
      <c r="EI223" s="775">
        <f t="shared" si="395"/>
        <v>41.5</v>
      </c>
      <c r="EJ223" s="673">
        <f t="shared" si="351"/>
        <v>5.4452077441603102</v>
      </c>
      <c r="EK223" s="673">
        <f t="shared" si="352"/>
        <v>2.2510196371999172</v>
      </c>
      <c r="EL223" s="775" t="b">
        <f t="shared" si="353"/>
        <v>0</v>
      </c>
      <c r="EM223" s="673"/>
      <c r="EN223" s="775">
        <f t="shared" si="354"/>
        <v>5.4452077441603102</v>
      </c>
      <c r="EO223" s="775">
        <f t="shared" si="355"/>
        <v>3.1206147909363543E-2</v>
      </c>
      <c r="EP223" s="775">
        <f t="shared" si="356"/>
        <v>2.0871904621252058E-3</v>
      </c>
      <c r="EQ223" s="775">
        <f t="shared" si="357"/>
        <v>5.3039379117216878</v>
      </c>
      <c r="ER223" s="775">
        <f t="shared" si="358"/>
        <v>2.6130232113538394</v>
      </c>
      <c r="ES223" s="775">
        <f t="shared" si="359"/>
        <v>4.758498700120593</v>
      </c>
      <c r="ET223" s="775">
        <f t="shared" si="360"/>
        <v>9.3570613140847723</v>
      </c>
      <c r="EU223" s="775">
        <f t="shared" si="361"/>
        <v>2.5305662487171685</v>
      </c>
      <c r="EV223" s="775">
        <f t="shared" si="362"/>
        <v>3.5984627086358567</v>
      </c>
      <c r="EW223" s="775">
        <f t="shared" si="363"/>
        <v>39.007684886704432</v>
      </c>
      <c r="EX223" s="775">
        <f t="shared" si="364"/>
        <v>6.323400322811735</v>
      </c>
      <c r="EY223" s="775">
        <f t="shared" si="391"/>
        <v>36.377447267670554</v>
      </c>
      <c r="EZ223" s="775">
        <f t="shared" si="365"/>
        <v>16.535203303486615</v>
      </c>
      <c r="FA223" s="775">
        <f t="shared" si="366"/>
        <v>5.4452077441603102</v>
      </c>
      <c r="FB223" s="775">
        <f t="shared" si="367"/>
        <v>3.8902649756669589</v>
      </c>
      <c r="FC223" s="775"/>
      <c r="FD223" s="775"/>
      <c r="FE223" s="775"/>
      <c r="FF223" s="775"/>
      <c r="FG223" s="775"/>
      <c r="FH223" s="775"/>
      <c r="FI223" s="775"/>
      <c r="FJ223" s="775"/>
      <c r="FK223" s="775" t="b">
        <f t="shared" si="392"/>
        <v>0</v>
      </c>
      <c r="FL223" s="775">
        <f t="shared" si="368"/>
        <v>25.698372370404137</v>
      </c>
      <c r="FM223" s="775">
        <v>83</v>
      </c>
      <c r="FN223" s="775">
        <f t="shared" si="393"/>
        <v>8.5</v>
      </c>
      <c r="FO223" s="673">
        <f t="shared" si="312"/>
        <v>34.198372370404137</v>
      </c>
      <c r="FP223" s="673">
        <f t="shared" si="369"/>
        <v>24.403675819467587</v>
      </c>
      <c r="FQ223" s="775" t="b">
        <f t="shared" si="370"/>
        <v>1</v>
      </c>
      <c r="FR223" s="673"/>
      <c r="FS223" s="775">
        <f t="shared" si="371"/>
        <v>34.198372370404137</v>
      </c>
      <c r="FT223" s="775">
        <f t="shared" si="372"/>
        <v>0.21341543315639569</v>
      </c>
      <c r="FU223" s="775">
        <f t="shared" si="373"/>
        <v>2.5140451978982781E-2</v>
      </c>
      <c r="FV223" s="775">
        <f t="shared" si="374"/>
        <v>1.278579509482682</v>
      </c>
      <c r="FW223" s="775">
        <f t="shared" si="375"/>
        <v>0.76087850980503702</v>
      </c>
      <c r="FX223" s="775">
        <f t="shared" si="376"/>
        <v>35.904492426509925</v>
      </c>
      <c r="FY223" s="775">
        <f t="shared" si="377"/>
        <v>61.286098780892857</v>
      </c>
      <c r="FZ223" s="775">
        <f t="shared" si="378"/>
        <v>23.129287075757265</v>
      </c>
      <c r="GA223" s="775">
        <f t="shared" si="379"/>
        <v>36.089440482176087</v>
      </c>
      <c r="GB223" s="775">
        <f t="shared" si="380"/>
        <v>299.63526815157957</v>
      </c>
      <c r="GC223" s="775">
        <f t="shared" si="381"/>
        <v>12.201520648115684</v>
      </c>
      <c r="GD223" s="775">
        <f t="shared" si="382"/>
        <v>1.9377558709353127</v>
      </c>
      <c r="GE223" s="775">
        <f t="shared" si="383"/>
        <v>0.88079812315241479</v>
      </c>
      <c r="GF223" s="775">
        <f t="shared" si="384"/>
        <v>34.080042238967145</v>
      </c>
      <c r="GG223" s="775">
        <f t="shared" si="385"/>
        <v>34.198372370404137</v>
      </c>
    </row>
    <row r="224" spans="70:189">
      <c r="BR224" s="775"/>
      <c r="BS224" s="775"/>
      <c r="BT224" s="775"/>
      <c r="BU224" s="775"/>
      <c r="BV224" s="775"/>
      <c r="BW224" s="775"/>
      <c r="BX224" s="775"/>
      <c r="BY224" s="775" t="b">
        <f t="shared" si="386"/>
        <v>0</v>
      </c>
      <c r="BZ224" s="775">
        <f t="shared" si="313"/>
        <v>36.536356265111891</v>
      </c>
      <c r="CA224" s="775">
        <v>84</v>
      </c>
      <c r="CB224" s="775">
        <f t="shared" si="394"/>
        <v>42</v>
      </c>
      <c r="CC224" s="673">
        <f t="shared" si="314"/>
        <v>5.4636437348881115</v>
      </c>
      <c r="CD224" s="91">
        <f t="shared" si="315"/>
        <v>2</v>
      </c>
      <c r="CE224" s="775" t="b">
        <f t="shared" si="316"/>
        <v>0</v>
      </c>
      <c r="CF224" s="673"/>
      <c r="CG224" s="775">
        <f t="shared" si="317"/>
        <v>5.4636437348881115</v>
      </c>
      <c r="CH224" s="775">
        <f t="shared" si="318"/>
        <v>3.08420326653885E-2</v>
      </c>
      <c r="CI224" s="775">
        <f t="shared" si="319"/>
        <v>2.0628369960535068E-3</v>
      </c>
      <c r="CJ224" s="775">
        <f t="shared" si="320"/>
        <v>5.3072185330563153</v>
      </c>
      <c r="CK224" s="775">
        <f t="shared" si="321"/>
        <v>2.6138036047739868</v>
      </c>
      <c r="CL224" s="775">
        <f t="shared" si="322"/>
        <v>4.7724814328582967</v>
      </c>
      <c r="CM224" s="775">
        <f t="shared" si="323"/>
        <v>9.3845568112595092</v>
      </c>
      <c r="CN224" s="775">
        <f t="shared" si="324"/>
        <v>2.5344896079565649</v>
      </c>
      <c r="CO224" s="775">
        <f t="shared" si="325"/>
        <v>3.6039005562453554</v>
      </c>
      <c r="CP224" s="775">
        <f t="shared" si="326"/>
        <v>38.552540831735627</v>
      </c>
      <c r="CQ224" s="775">
        <f t="shared" si="327"/>
        <v>6.2496185007816729</v>
      </c>
      <c r="CR224" s="775">
        <f t="shared" si="387"/>
        <v>36.806912576613101</v>
      </c>
      <c r="CS224" s="775">
        <f t="shared" si="328"/>
        <v>16.730414807551409</v>
      </c>
      <c r="CT224" s="775">
        <f t="shared" si="329"/>
        <v>5.4636437348881115</v>
      </c>
      <c r="CU224" s="775">
        <f t="shared" si="330"/>
        <v>3.8976733059356561</v>
      </c>
      <c r="CV224" s="775"/>
      <c r="CW224" s="775"/>
      <c r="CX224" s="775"/>
      <c r="CY224" s="775"/>
      <c r="CZ224" s="775"/>
      <c r="DA224" s="775"/>
      <c r="DB224" s="775"/>
      <c r="DC224" s="775"/>
      <c r="DD224" s="775" t="b">
        <f t="shared" si="388"/>
        <v>0</v>
      </c>
      <c r="DE224" s="775">
        <f t="shared" si="331"/>
        <v>20.284749095437853</v>
      </c>
      <c r="DF224" s="776">
        <v>85</v>
      </c>
      <c r="DG224" s="775">
        <f t="shared" si="389"/>
        <v>8</v>
      </c>
      <c r="DH224" s="673">
        <f t="shared" si="332"/>
        <v>28.284749095437853</v>
      </c>
      <c r="DI224" s="673">
        <f t="shared" si="333"/>
        <v>19</v>
      </c>
      <c r="DJ224" s="775" t="b">
        <f t="shared" si="334"/>
        <v>1</v>
      </c>
      <c r="DK224" s="673"/>
      <c r="DL224" s="775">
        <f t="shared" si="335"/>
        <v>28.284749095437853</v>
      </c>
      <c r="DM224" s="775">
        <f t="shared" si="336"/>
        <v>0.22479659193426568</v>
      </c>
      <c r="DN224" s="775">
        <f t="shared" si="337"/>
        <v>2.6481158559985001E-2</v>
      </c>
      <c r="DO224" s="775">
        <f t="shared" si="338"/>
        <v>1.2566110911561896</v>
      </c>
      <c r="DP224" s="775">
        <f t="shared" si="339"/>
        <v>0.75301297892952423</v>
      </c>
      <c r="DQ224" s="775">
        <f t="shared" si="340"/>
        <v>27.593460591100989</v>
      </c>
      <c r="DR224" s="775">
        <f t="shared" si="341"/>
        <v>47.099831725911706</v>
      </c>
      <c r="DS224" s="775">
        <f t="shared" si="342"/>
        <v>22.871911205170029</v>
      </c>
      <c r="DT224" s="775">
        <f t="shared" si="343"/>
        <v>35.715296868122053</v>
      </c>
      <c r="DU224" s="775">
        <f t="shared" si="344"/>
        <v>315.61441507570902</v>
      </c>
      <c r="DV224" s="775">
        <f t="shared" si="345"/>
        <v>12.852211377337213</v>
      </c>
      <c r="DW224" s="775">
        <f t="shared" si="346"/>
        <v>5.0498986227155598</v>
      </c>
      <c r="DX224" s="775">
        <f t="shared" si="347"/>
        <v>2.2954084648707087</v>
      </c>
      <c r="DY224" s="775">
        <f t="shared" si="348"/>
        <v>28.284749095437853</v>
      </c>
      <c r="DZ224" s="775">
        <f t="shared" si="349"/>
        <v>33.958553379460213</v>
      </c>
      <c r="EA224" s="775"/>
      <c r="EB224" s="775"/>
      <c r="EC224" s="775"/>
      <c r="ED224" s="775"/>
      <c r="EE224" s="775"/>
      <c r="EF224" s="775" t="b">
        <f t="shared" si="390"/>
        <v>0</v>
      </c>
      <c r="EG224" s="775">
        <f t="shared" si="350"/>
        <v>36.536356265111891</v>
      </c>
      <c r="EH224" s="775">
        <v>84</v>
      </c>
      <c r="EI224" s="775">
        <f t="shared" si="395"/>
        <v>42</v>
      </c>
      <c r="EJ224" s="673">
        <f t="shared" si="351"/>
        <v>5.4636437348881115</v>
      </c>
      <c r="EK224" s="673">
        <f t="shared" si="352"/>
        <v>2.2510196371999172</v>
      </c>
      <c r="EL224" s="775" t="b">
        <f t="shared" si="353"/>
        <v>0</v>
      </c>
      <c r="EM224" s="673"/>
      <c r="EN224" s="775">
        <f t="shared" si="354"/>
        <v>5.4636437348881115</v>
      </c>
      <c r="EO224" s="775">
        <f t="shared" si="355"/>
        <v>3.08420326653885E-2</v>
      </c>
      <c r="EP224" s="775">
        <f t="shared" si="356"/>
        <v>2.0628369960535068E-3</v>
      </c>
      <c r="EQ224" s="775">
        <f t="shared" si="357"/>
        <v>5.3072185330563153</v>
      </c>
      <c r="ER224" s="775">
        <f t="shared" si="358"/>
        <v>2.6138036047739868</v>
      </c>
      <c r="ES224" s="775">
        <f t="shared" si="359"/>
        <v>4.7724814328582967</v>
      </c>
      <c r="ET224" s="775">
        <f t="shared" si="360"/>
        <v>9.3845568112595092</v>
      </c>
      <c r="EU224" s="775">
        <f t="shared" si="361"/>
        <v>2.5344896079565649</v>
      </c>
      <c r="EV224" s="775">
        <f t="shared" si="362"/>
        <v>3.6039005562453554</v>
      </c>
      <c r="EW224" s="775">
        <f t="shared" si="363"/>
        <v>38.552540831735627</v>
      </c>
      <c r="EX224" s="775">
        <f t="shared" si="364"/>
        <v>6.2496185007816729</v>
      </c>
      <c r="EY224" s="775">
        <f t="shared" si="391"/>
        <v>36.806912576613101</v>
      </c>
      <c r="EZ224" s="775">
        <f t="shared" si="365"/>
        <v>16.730414807551409</v>
      </c>
      <c r="FA224" s="775">
        <f t="shared" si="366"/>
        <v>5.4636437348881115</v>
      </c>
      <c r="FB224" s="775">
        <f t="shared" si="367"/>
        <v>3.8976733059356561</v>
      </c>
      <c r="FC224" s="775"/>
      <c r="FD224" s="775"/>
      <c r="FE224" s="775"/>
      <c r="FF224" s="775"/>
      <c r="FG224" s="775"/>
      <c r="FH224" s="775"/>
      <c r="FI224" s="775"/>
      <c r="FJ224" s="775"/>
      <c r="FK224" s="775" t="b">
        <f t="shared" si="392"/>
        <v>0</v>
      </c>
      <c r="FL224" s="775">
        <f t="shared" si="368"/>
        <v>25.958553379460213</v>
      </c>
      <c r="FM224" s="775">
        <v>84</v>
      </c>
      <c r="FN224" s="775">
        <f t="shared" si="393"/>
        <v>8</v>
      </c>
      <c r="FO224" s="673">
        <f t="shared" si="312"/>
        <v>33.958553379460213</v>
      </c>
      <c r="FP224" s="673">
        <f t="shared" si="369"/>
        <v>24.403675819467587</v>
      </c>
      <c r="FQ224" s="775" t="b">
        <f t="shared" si="370"/>
        <v>1</v>
      </c>
      <c r="FR224" s="673"/>
      <c r="FS224" s="775">
        <f t="shared" si="371"/>
        <v>33.958553379460213</v>
      </c>
      <c r="FT224" s="775">
        <f t="shared" si="372"/>
        <v>0.22479659193426568</v>
      </c>
      <c r="FU224" s="775">
        <f t="shared" si="373"/>
        <v>2.6481158559985001E-2</v>
      </c>
      <c r="FV224" s="775">
        <f t="shared" si="374"/>
        <v>1.2566110911561896</v>
      </c>
      <c r="FW224" s="775">
        <f t="shared" si="375"/>
        <v>0.75301297892952423</v>
      </c>
      <c r="FX224" s="775">
        <f t="shared" si="376"/>
        <v>35.441150894867526</v>
      </c>
      <c r="FY224" s="775">
        <f t="shared" si="377"/>
        <v>60.495211820559149</v>
      </c>
      <c r="FZ224" s="775">
        <f t="shared" si="378"/>
        <v>22.871911205170029</v>
      </c>
      <c r="GA224" s="775">
        <f t="shared" si="379"/>
        <v>35.715296868122053</v>
      </c>
      <c r="GB224" s="775">
        <f t="shared" si="380"/>
        <v>315.61441507570902</v>
      </c>
      <c r="GC224" s="775">
        <f t="shared" si="381"/>
        <v>12.852211377337213</v>
      </c>
      <c r="GD224" s="775">
        <f t="shared" si="382"/>
        <v>1.8396498140324862</v>
      </c>
      <c r="GE224" s="775">
        <f t="shared" si="383"/>
        <v>0.83620446092385725</v>
      </c>
      <c r="GF224" s="775">
        <f t="shared" si="384"/>
        <v>33.781718318591473</v>
      </c>
      <c r="GG224" s="775">
        <f t="shared" si="385"/>
        <v>33.958553379460213</v>
      </c>
    </row>
    <row r="225" spans="70:189">
      <c r="BR225" s="775"/>
      <c r="BS225" s="775"/>
      <c r="BT225" s="775"/>
      <c r="BU225" s="775"/>
      <c r="BV225" s="775"/>
      <c r="BW225" s="775"/>
      <c r="BX225" s="775"/>
      <c r="BY225" s="775" t="b">
        <f t="shared" si="386"/>
        <v>0</v>
      </c>
      <c r="BZ225" s="775">
        <f t="shared" si="313"/>
        <v>37.018092333314719</v>
      </c>
      <c r="CA225" s="775">
        <v>85</v>
      </c>
      <c r="CB225" s="775">
        <f t="shared" si="394"/>
        <v>42.5</v>
      </c>
      <c r="CC225" s="673">
        <f t="shared" si="314"/>
        <v>5.4819076666852808</v>
      </c>
      <c r="CD225" s="91">
        <f t="shared" si="315"/>
        <v>2</v>
      </c>
      <c r="CE225" s="775" t="b">
        <f t="shared" si="316"/>
        <v>0</v>
      </c>
      <c r="CF225" s="673"/>
      <c r="CG225" s="775">
        <f t="shared" si="317"/>
        <v>5.4819076666852808</v>
      </c>
      <c r="CH225" s="775">
        <f t="shared" si="318"/>
        <v>3.0486400168614931E-2</v>
      </c>
      <c r="CI225" s="775">
        <f t="shared" si="319"/>
        <v>2.03905088962847E-3</v>
      </c>
      <c r="CJ225" s="775">
        <f t="shared" si="320"/>
        <v>5.3104278239623754</v>
      </c>
      <c r="CK225" s="775">
        <f t="shared" si="321"/>
        <v>2.614566492823847</v>
      </c>
      <c r="CL225" s="775">
        <f t="shared" si="322"/>
        <v>4.78633904652468</v>
      </c>
      <c r="CM225" s="775">
        <f t="shared" si="323"/>
        <v>9.4118062756210232</v>
      </c>
      <c r="CN225" s="775">
        <f t="shared" si="324"/>
        <v>2.5383719446092505</v>
      </c>
      <c r="CO225" s="775">
        <f t="shared" si="325"/>
        <v>3.609281688237731</v>
      </c>
      <c r="CP225" s="775">
        <f t="shared" si="326"/>
        <v>38.108000210768665</v>
      </c>
      <c r="CQ225" s="775">
        <f t="shared" si="327"/>
        <v>6.1775555646117919</v>
      </c>
      <c r="CR225" s="775">
        <f t="shared" si="387"/>
        <v>37.236275641643743</v>
      </c>
      <c r="CS225" s="775">
        <f t="shared" si="328"/>
        <v>16.925579837110792</v>
      </c>
      <c r="CT225" s="775">
        <f t="shared" si="329"/>
        <v>5.4819076666852808</v>
      </c>
      <c r="CU225" s="775">
        <f t="shared" si="330"/>
        <v>3.9050032446574341</v>
      </c>
      <c r="CV225" s="775"/>
      <c r="CW225" s="775"/>
      <c r="CX225" s="775"/>
      <c r="CY225" s="775"/>
      <c r="CZ225" s="775"/>
      <c r="DA225" s="775"/>
      <c r="DB225" s="775"/>
      <c r="DC225" s="775"/>
      <c r="DD225" s="775" t="b">
        <f t="shared" si="388"/>
        <v>0</v>
      </c>
      <c r="DE225" s="775">
        <f t="shared" si="331"/>
        <v>20.496142534828749</v>
      </c>
      <c r="DF225" s="776">
        <v>86</v>
      </c>
      <c r="DG225" s="775">
        <f t="shared" si="389"/>
        <v>7.5</v>
      </c>
      <c r="DH225" s="673">
        <f t="shared" si="332"/>
        <v>27.996142534828749</v>
      </c>
      <c r="DI225" s="673">
        <f t="shared" si="333"/>
        <v>19</v>
      </c>
      <c r="DJ225" s="775" t="b">
        <f t="shared" si="334"/>
        <v>1</v>
      </c>
      <c r="DK225" s="673"/>
      <c r="DL225" s="775">
        <f t="shared" si="335"/>
        <v>27.996142534828749</v>
      </c>
      <c r="DM225" s="775">
        <f t="shared" si="336"/>
        <v>0.23758025212557951</v>
      </c>
      <c r="DN225" s="775">
        <f t="shared" si="337"/>
        <v>2.7987080556356458E-2</v>
      </c>
      <c r="DO225" s="775">
        <f t="shared" si="338"/>
        <v>1.2330712001086257</v>
      </c>
      <c r="DP225" s="775">
        <f t="shared" si="339"/>
        <v>0.74446257007786076</v>
      </c>
      <c r="DQ225" s="775">
        <f t="shared" si="340"/>
        <v>27.214541145486589</v>
      </c>
      <c r="DR225" s="775">
        <f t="shared" si="341"/>
        <v>46.453046518699615</v>
      </c>
      <c r="DS225" s="775">
        <f t="shared" si="342"/>
        <v>22.600647539699192</v>
      </c>
      <c r="DT225" s="775">
        <f t="shared" si="343"/>
        <v>35.32047866841814</v>
      </c>
      <c r="DU225" s="775">
        <f t="shared" si="344"/>
        <v>333.56267398431362</v>
      </c>
      <c r="DV225" s="775">
        <f t="shared" si="345"/>
        <v>13.583086794713914</v>
      </c>
      <c r="DW225" s="775">
        <f t="shared" si="346"/>
        <v>4.7781749107664009</v>
      </c>
      <c r="DX225" s="775">
        <f t="shared" si="347"/>
        <v>2.1718976867120001</v>
      </c>
      <c r="DY225" s="775">
        <f t="shared" si="348"/>
        <v>27.996142534828749</v>
      </c>
      <c r="DZ225" s="775">
        <f t="shared" si="349"/>
        <v>33.703579411245833</v>
      </c>
      <c r="EA225" s="775"/>
      <c r="EB225" s="775"/>
      <c r="EC225" s="775"/>
      <c r="ED225" s="775"/>
      <c r="EE225" s="775"/>
      <c r="EF225" s="775" t="b">
        <f t="shared" si="390"/>
        <v>0</v>
      </c>
      <c r="EG225" s="775">
        <f t="shared" si="350"/>
        <v>37.018092333314719</v>
      </c>
      <c r="EH225" s="775">
        <v>85</v>
      </c>
      <c r="EI225" s="775">
        <f t="shared" si="395"/>
        <v>42.5</v>
      </c>
      <c r="EJ225" s="673">
        <f t="shared" si="351"/>
        <v>5.4819076666852808</v>
      </c>
      <c r="EK225" s="673">
        <f t="shared" si="352"/>
        <v>2.2510196371999172</v>
      </c>
      <c r="EL225" s="775" t="b">
        <f t="shared" si="353"/>
        <v>0</v>
      </c>
      <c r="EM225" s="673"/>
      <c r="EN225" s="775">
        <f t="shared" si="354"/>
        <v>5.4819076666852808</v>
      </c>
      <c r="EO225" s="775">
        <f t="shared" si="355"/>
        <v>3.0486400168614931E-2</v>
      </c>
      <c r="EP225" s="775">
        <f t="shared" si="356"/>
        <v>2.03905088962847E-3</v>
      </c>
      <c r="EQ225" s="775">
        <f t="shared" si="357"/>
        <v>5.3104278239623754</v>
      </c>
      <c r="ER225" s="775">
        <f t="shared" si="358"/>
        <v>2.614566492823847</v>
      </c>
      <c r="ES225" s="775">
        <f t="shared" si="359"/>
        <v>4.78633904652468</v>
      </c>
      <c r="ET225" s="775">
        <f t="shared" si="360"/>
        <v>9.4118062756210232</v>
      </c>
      <c r="EU225" s="775">
        <f t="shared" si="361"/>
        <v>2.5383719446092505</v>
      </c>
      <c r="EV225" s="775">
        <f t="shared" si="362"/>
        <v>3.609281688237731</v>
      </c>
      <c r="EW225" s="775">
        <f t="shared" si="363"/>
        <v>38.108000210768665</v>
      </c>
      <c r="EX225" s="775">
        <f t="shared" si="364"/>
        <v>6.1775555646117919</v>
      </c>
      <c r="EY225" s="775">
        <f t="shared" si="391"/>
        <v>37.236275641643743</v>
      </c>
      <c r="EZ225" s="775">
        <f t="shared" si="365"/>
        <v>16.925579837110792</v>
      </c>
      <c r="FA225" s="775">
        <f t="shared" si="366"/>
        <v>5.4819076666852808</v>
      </c>
      <c r="FB225" s="775">
        <f t="shared" si="367"/>
        <v>3.9050032446574341</v>
      </c>
      <c r="FC225" s="775"/>
      <c r="FD225" s="775"/>
      <c r="FE225" s="775"/>
      <c r="FF225" s="775"/>
      <c r="FG225" s="775"/>
      <c r="FH225" s="775"/>
      <c r="FI225" s="775"/>
      <c r="FJ225" s="775"/>
      <c r="FK225" s="775" t="b">
        <f t="shared" si="392"/>
        <v>0</v>
      </c>
      <c r="FL225" s="775">
        <f t="shared" si="368"/>
        <v>26.203579411245833</v>
      </c>
      <c r="FM225" s="775">
        <v>85</v>
      </c>
      <c r="FN225" s="775">
        <f t="shared" si="393"/>
        <v>7.5</v>
      </c>
      <c r="FO225" s="673">
        <f t="shared" si="312"/>
        <v>33.703579411245833</v>
      </c>
      <c r="FP225" s="673">
        <f t="shared" si="369"/>
        <v>24.403675819467587</v>
      </c>
      <c r="FQ225" s="775" t="b">
        <f t="shared" si="370"/>
        <v>1</v>
      </c>
      <c r="FR225" s="673"/>
      <c r="FS225" s="775">
        <f t="shared" si="371"/>
        <v>33.703579411245833</v>
      </c>
      <c r="FT225" s="775">
        <f t="shared" si="372"/>
        <v>0.23758025212557951</v>
      </c>
      <c r="FU225" s="775">
        <f t="shared" si="373"/>
        <v>2.7987080556356458E-2</v>
      </c>
      <c r="FV225" s="775">
        <f t="shared" si="374"/>
        <v>1.2330712001086257</v>
      </c>
      <c r="FW225" s="775">
        <f t="shared" si="375"/>
        <v>0.74446257007786076</v>
      </c>
      <c r="FX225" s="775">
        <f t="shared" si="376"/>
        <v>34.954465246842986</v>
      </c>
      <c r="FY225" s="775">
        <f t="shared" si="377"/>
        <v>59.664478319420674</v>
      </c>
      <c r="FZ225" s="775">
        <f t="shared" si="378"/>
        <v>22.600647539699192</v>
      </c>
      <c r="GA225" s="775">
        <f t="shared" si="379"/>
        <v>35.32047866841814</v>
      </c>
      <c r="GB225" s="775">
        <f t="shared" si="380"/>
        <v>333.56267398431362</v>
      </c>
      <c r="GC225" s="775">
        <f t="shared" si="381"/>
        <v>13.583086794713914</v>
      </c>
      <c r="GD225" s="775">
        <f t="shared" si="382"/>
        <v>1.7406623860657282</v>
      </c>
      <c r="GE225" s="775">
        <f t="shared" si="383"/>
        <v>0.79121017548442185</v>
      </c>
      <c r="GF225" s="775">
        <f t="shared" si="384"/>
        <v>33.465442682141969</v>
      </c>
      <c r="GG225" s="775">
        <f t="shared" si="385"/>
        <v>33.703579411245833</v>
      </c>
    </row>
    <row r="226" spans="70:189">
      <c r="BR226" s="775"/>
      <c r="BS226" s="775"/>
      <c r="BT226" s="775"/>
      <c r="BU226" s="775"/>
      <c r="BV226" s="775"/>
      <c r="BW226" s="775"/>
      <c r="BX226" s="775"/>
      <c r="BY226" s="775" t="b">
        <f t="shared" si="386"/>
        <v>0</v>
      </c>
      <c r="BZ226" s="775">
        <f t="shared" si="313"/>
        <v>37.499996877291821</v>
      </c>
      <c r="CA226" s="775">
        <v>86</v>
      </c>
      <c r="CB226" s="775">
        <f t="shared" si="394"/>
        <v>43</v>
      </c>
      <c r="CC226" s="673">
        <f t="shared" si="314"/>
        <v>5.5000031227081774</v>
      </c>
      <c r="CD226" s="91">
        <f t="shared" si="315"/>
        <v>2</v>
      </c>
      <c r="CE226" s="775" t="b">
        <f t="shared" si="316"/>
        <v>0</v>
      </c>
      <c r="CF226" s="673"/>
      <c r="CG226" s="775">
        <f t="shared" si="317"/>
        <v>5.5000031227081774</v>
      </c>
      <c r="CH226" s="775">
        <f t="shared" si="318"/>
        <v>3.0138956447537547E-2</v>
      </c>
      <c r="CI226" s="775">
        <f t="shared" si="319"/>
        <v>2.015812480874392E-3</v>
      </c>
      <c r="CJ226" s="775">
        <f t="shared" si="320"/>
        <v>5.3135680953237223</v>
      </c>
      <c r="CK226" s="775">
        <f t="shared" si="321"/>
        <v>2.6153124601173952</v>
      </c>
      <c r="CL226" s="775">
        <f t="shared" si="322"/>
        <v>4.8000741131401368</v>
      </c>
      <c r="CM226" s="775">
        <f t="shared" si="323"/>
        <v>9.4388147647629062</v>
      </c>
      <c r="CN226" s="775">
        <f t="shared" si="324"/>
        <v>2.5422141632326603</v>
      </c>
      <c r="CO226" s="775">
        <f t="shared" si="325"/>
        <v>3.6146073535470413</v>
      </c>
      <c r="CP226" s="775">
        <f t="shared" si="326"/>
        <v>37.673695559421937</v>
      </c>
      <c r="CQ226" s="775">
        <f t="shared" si="327"/>
        <v>6.1071519459273977</v>
      </c>
      <c r="CR226" s="775">
        <f t="shared" si="387"/>
        <v>37.665537689602047</v>
      </c>
      <c r="CS226" s="775">
        <f t="shared" si="328"/>
        <v>17.120698949819111</v>
      </c>
      <c r="CT226" s="775">
        <f t="shared" si="329"/>
        <v>5.5000031227081774</v>
      </c>
      <c r="CU226" s="775">
        <f t="shared" si="330"/>
        <v>3.9122565283001642</v>
      </c>
      <c r="CV226" s="775"/>
      <c r="CW226" s="775"/>
      <c r="CX226" s="775"/>
      <c r="CY226" s="775"/>
      <c r="CZ226" s="775"/>
      <c r="DA226" s="775"/>
      <c r="DB226" s="775"/>
      <c r="DC226" s="775"/>
      <c r="DD226" s="775" t="b">
        <f t="shared" si="388"/>
        <v>0</v>
      </c>
      <c r="DE226" s="775">
        <f t="shared" si="331"/>
        <v>20.689473789149346</v>
      </c>
      <c r="DF226" s="776">
        <v>87</v>
      </c>
      <c r="DG226" s="775">
        <f t="shared" si="389"/>
        <v>7</v>
      </c>
      <c r="DH226" s="673">
        <f t="shared" si="332"/>
        <v>27.689473789149346</v>
      </c>
      <c r="DI226" s="673">
        <f t="shared" si="333"/>
        <v>19</v>
      </c>
      <c r="DJ226" s="775" t="b">
        <f t="shared" si="334"/>
        <v>1</v>
      </c>
      <c r="DK226" s="673"/>
      <c r="DL226" s="775">
        <f t="shared" si="335"/>
        <v>27.689473789149346</v>
      </c>
      <c r="DM226" s="775">
        <f t="shared" si="336"/>
        <v>0.2520512301129712</v>
      </c>
      <c r="DN226" s="775">
        <f t="shared" si="337"/>
        <v>2.969176949004914E-2</v>
      </c>
      <c r="DO226" s="775">
        <f t="shared" si="338"/>
        <v>1.207763062959633</v>
      </c>
      <c r="DP226" s="775">
        <f t="shared" si="339"/>
        <v>0.73512643032891811</v>
      </c>
      <c r="DQ226" s="775">
        <f t="shared" si="340"/>
        <v>26.815221928289102</v>
      </c>
      <c r="DR226" s="775">
        <f t="shared" si="341"/>
        <v>45.771440531917733</v>
      </c>
      <c r="DS226" s="775">
        <f t="shared" si="342"/>
        <v>22.313750596244844</v>
      </c>
      <c r="DT226" s="775">
        <f t="shared" si="343"/>
        <v>34.902358091905377</v>
      </c>
      <c r="DU226" s="775">
        <f t="shared" si="344"/>
        <v>353.87992707861156</v>
      </c>
      <c r="DV226" s="775">
        <f t="shared" si="345"/>
        <v>14.410430600642862</v>
      </c>
      <c r="DW226" s="775">
        <f t="shared" si="346"/>
        <v>4.503846299386022</v>
      </c>
      <c r="DX226" s="775">
        <f t="shared" si="347"/>
        <v>2.0472028633572825</v>
      </c>
      <c r="DY226" s="775">
        <f t="shared" si="348"/>
        <v>27.689473789149346</v>
      </c>
      <c r="DZ226" s="775">
        <f t="shared" si="349"/>
        <v>33.431401387577829</v>
      </c>
      <c r="EA226" s="775"/>
      <c r="EB226" s="775"/>
      <c r="EC226" s="775"/>
      <c r="ED226" s="775"/>
      <c r="EE226" s="775"/>
      <c r="EF226" s="775" t="b">
        <f t="shared" si="390"/>
        <v>0</v>
      </c>
      <c r="EG226" s="775">
        <f t="shared" si="350"/>
        <v>37.499996877291821</v>
      </c>
      <c r="EH226" s="775">
        <v>86</v>
      </c>
      <c r="EI226" s="775">
        <f t="shared" si="395"/>
        <v>43</v>
      </c>
      <c r="EJ226" s="673">
        <f t="shared" si="351"/>
        <v>5.5000031227081774</v>
      </c>
      <c r="EK226" s="673">
        <f t="shared" si="352"/>
        <v>2.2510196371999172</v>
      </c>
      <c r="EL226" s="775" t="b">
        <f t="shared" si="353"/>
        <v>0</v>
      </c>
      <c r="EM226" s="673"/>
      <c r="EN226" s="775">
        <f t="shared" si="354"/>
        <v>5.5000031227081774</v>
      </c>
      <c r="EO226" s="775">
        <f t="shared" si="355"/>
        <v>3.0138956447537547E-2</v>
      </c>
      <c r="EP226" s="775">
        <f t="shared" si="356"/>
        <v>2.015812480874392E-3</v>
      </c>
      <c r="EQ226" s="775">
        <f t="shared" si="357"/>
        <v>5.3135680953237223</v>
      </c>
      <c r="ER226" s="775">
        <f t="shared" si="358"/>
        <v>2.6153124601173952</v>
      </c>
      <c r="ES226" s="775">
        <f t="shared" si="359"/>
        <v>4.8000741131401368</v>
      </c>
      <c r="ET226" s="775">
        <f t="shared" si="360"/>
        <v>9.4388147647629062</v>
      </c>
      <c r="EU226" s="775">
        <f t="shared" si="361"/>
        <v>2.5422141632326603</v>
      </c>
      <c r="EV226" s="775">
        <f t="shared" si="362"/>
        <v>3.6146073535470413</v>
      </c>
      <c r="EW226" s="775">
        <f t="shared" si="363"/>
        <v>37.673695559421937</v>
      </c>
      <c r="EX226" s="775">
        <f t="shared" si="364"/>
        <v>6.1071519459273977</v>
      </c>
      <c r="EY226" s="775">
        <f t="shared" si="391"/>
        <v>37.665537689602047</v>
      </c>
      <c r="EZ226" s="775">
        <f t="shared" si="365"/>
        <v>17.120698949819111</v>
      </c>
      <c r="FA226" s="775">
        <f t="shared" si="366"/>
        <v>5.5000031227081774</v>
      </c>
      <c r="FB226" s="775">
        <f t="shared" si="367"/>
        <v>3.9122565283001642</v>
      </c>
      <c r="FC226" s="775"/>
      <c r="FD226" s="775"/>
      <c r="FE226" s="775"/>
      <c r="FF226" s="775"/>
      <c r="FG226" s="775"/>
      <c r="FH226" s="775"/>
      <c r="FI226" s="775"/>
      <c r="FJ226" s="775"/>
      <c r="FK226" s="775" t="b">
        <f t="shared" si="392"/>
        <v>0</v>
      </c>
      <c r="FL226" s="775">
        <f t="shared" si="368"/>
        <v>26.431401387577829</v>
      </c>
      <c r="FM226" s="775">
        <v>86</v>
      </c>
      <c r="FN226" s="775">
        <f t="shared" si="393"/>
        <v>7</v>
      </c>
      <c r="FO226" s="673">
        <f t="shared" si="312"/>
        <v>33.431401387577829</v>
      </c>
      <c r="FP226" s="673">
        <f t="shared" si="369"/>
        <v>24.403675819467587</v>
      </c>
      <c r="FQ226" s="775" t="b">
        <f t="shared" si="370"/>
        <v>1</v>
      </c>
      <c r="FR226" s="673"/>
      <c r="FS226" s="775">
        <f t="shared" si="371"/>
        <v>33.431401387577829</v>
      </c>
      <c r="FT226" s="775">
        <f t="shared" si="372"/>
        <v>0.2520512301129712</v>
      </c>
      <c r="FU226" s="775">
        <f t="shared" si="373"/>
        <v>2.969176949004914E-2</v>
      </c>
      <c r="FV226" s="775">
        <f t="shared" si="374"/>
        <v>1.207763062959633</v>
      </c>
      <c r="FW226" s="775">
        <f t="shared" si="375"/>
        <v>0.73512643032891811</v>
      </c>
      <c r="FX226" s="775">
        <f t="shared" si="376"/>
        <v>34.441578050791883</v>
      </c>
      <c r="FY226" s="775">
        <f t="shared" si="377"/>
        <v>58.789020870050493</v>
      </c>
      <c r="FZ226" s="775">
        <f t="shared" si="378"/>
        <v>22.313750596244844</v>
      </c>
      <c r="GA226" s="775">
        <f t="shared" si="379"/>
        <v>34.902358091905377</v>
      </c>
      <c r="GB226" s="775">
        <f t="shared" si="380"/>
        <v>353.87992707861156</v>
      </c>
      <c r="GC226" s="775">
        <f t="shared" si="381"/>
        <v>14.410430600642862</v>
      </c>
      <c r="GD226" s="775">
        <f t="shared" si="382"/>
        <v>1.6407260078106096</v>
      </c>
      <c r="GE226" s="775">
        <f t="shared" si="383"/>
        <v>0.74578454900482249</v>
      </c>
      <c r="GF226" s="775">
        <f t="shared" si="384"/>
        <v>33.12885368329642</v>
      </c>
      <c r="GG226" s="775">
        <f t="shared" si="385"/>
        <v>33.431401387577829</v>
      </c>
    </row>
    <row r="227" spans="70:189">
      <c r="BR227" s="775"/>
      <c r="BS227" s="775"/>
      <c r="BT227" s="775"/>
      <c r="BU227" s="775"/>
      <c r="BV227" s="775"/>
      <c r="BW227" s="775"/>
      <c r="BX227" s="775"/>
      <c r="BY227" s="775" t="b">
        <f t="shared" si="386"/>
        <v>0</v>
      </c>
      <c r="BZ227" s="775">
        <f t="shared" si="313"/>
        <v>37.98206642899693</v>
      </c>
      <c r="CA227" s="775">
        <v>87</v>
      </c>
      <c r="CB227" s="775">
        <f t="shared" si="394"/>
        <v>43.5</v>
      </c>
      <c r="CC227" s="673">
        <f t="shared" si="314"/>
        <v>5.5179335710030681</v>
      </c>
      <c r="CD227" s="91">
        <f t="shared" si="315"/>
        <v>2</v>
      </c>
      <c r="CE227" s="775" t="b">
        <f t="shared" si="316"/>
        <v>0</v>
      </c>
      <c r="CF227" s="673"/>
      <c r="CG227" s="775">
        <f t="shared" si="317"/>
        <v>5.5179335710030681</v>
      </c>
      <c r="CH227" s="775">
        <f t="shared" si="318"/>
        <v>2.9799420980563748E-2</v>
      </c>
      <c r="CI227" s="775">
        <f t="shared" si="319"/>
        <v>1.9931030073988688E-3</v>
      </c>
      <c r="CJ227" s="775">
        <f t="shared" si="320"/>
        <v>5.3166415590377873</v>
      </c>
      <c r="CK227" s="775">
        <f t="shared" si="321"/>
        <v>2.6160420654730276</v>
      </c>
      <c r="CL227" s="775">
        <f t="shared" si="322"/>
        <v>4.8136891226864238</v>
      </c>
      <c r="CM227" s="775">
        <f t="shared" si="323"/>
        <v>9.4655871749588414</v>
      </c>
      <c r="CN227" s="775">
        <f t="shared" si="324"/>
        <v>2.5460171381987799</v>
      </c>
      <c r="CO227" s="775">
        <f t="shared" si="325"/>
        <v>3.6198787594674142</v>
      </c>
      <c r="CP227" s="775">
        <f t="shared" si="326"/>
        <v>37.249276225704683</v>
      </c>
      <c r="CQ227" s="775">
        <f t="shared" si="327"/>
        <v>6.0383508017520873</v>
      </c>
      <c r="CR227" s="775">
        <f t="shared" si="387"/>
        <v>38.094699918512447</v>
      </c>
      <c r="CS227" s="775">
        <f t="shared" si="328"/>
        <v>17.315772690232929</v>
      </c>
      <c r="CT227" s="775">
        <f t="shared" si="329"/>
        <v>5.5179335710030681</v>
      </c>
      <c r="CU227" s="775">
        <f t="shared" si="330"/>
        <v>3.9194348352282118</v>
      </c>
      <c r="CV227" s="775"/>
      <c r="CW227" s="775"/>
      <c r="CX227" s="775"/>
      <c r="CY227" s="775"/>
      <c r="CZ227" s="775"/>
      <c r="DA227" s="775"/>
      <c r="DB227" s="775"/>
      <c r="DC227" s="775"/>
      <c r="DD227" s="775" t="b">
        <f t="shared" si="388"/>
        <v>0</v>
      </c>
      <c r="DE227" s="775">
        <f t="shared" si="331"/>
        <v>20.862223516293977</v>
      </c>
      <c r="DF227" s="776">
        <v>88</v>
      </c>
      <c r="DG227" s="775">
        <f t="shared" si="389"/>
        <v>6.5</v>
      </c>
      <c r="DH227" s="673">
        <f t="shared" si="332"/>
        <v>27.362223516293977</v>
      </c>
      <c r="DI227" s="673">
        <f t="shared" si="333"/>
        <v>19</v>
      </c>
      <c r="DJ227" s="775" t="b">
        <f t="shared" si="334"/>
        <v>1</v>
      </c>
      <c r="DK227" s="673"/>
      <c r="DL227" s="775">
        <f t="shared" si="335"/>
        <v>27.362223516293977</v>
      </c>
      <c r="DM227" s="775">
        <f t="shared" si="336"/>
        <v>0.26857840784415682</v>
      </c>
      <c r="DN227" s="775">
        <f t="shared" si="337"/>
        <v>3.1638679851468489E-2</v>
      </c>
      <c r="DO227" s="775">
        <f t="shared" si="338"/>
        <v>1.1804521224518914</v>
      </c>
      <c r="DP227" s="775">
        <f t="shared" si="339"/>
        <v>0.72488165416121964</v>
      </c>
      <c r="DQ227" s="775">
        <f t="shared" si="340"/>
        <v>26.392821904926571</v>
      </c>
      <c r="DR227" s="775">
        <f t="shared" si="341"/>
        <v>45.050437453825651</v>
      </c>
      <c r="DS227" s="775">
        <f t="shared" si="342"/>
        <v>22.009111075983622</v>
      </c>
      <c r="DT227" s="775">
        <f t="shared" si="343"/>
        <v>34.457755607191757</v>
      </c>
      <c r="DU227" s="775">
        <f t="shared" si="344"/>
        <v>377.08408461319618</v>
      </c>
      <c r="DV227" s="775">
        <f t="shared" si="345"/>
        <v>15.355332744595874</v>
      </c>
      <c r="DW227" s="775">
        <f t="shared" si="346"/>
        <v>4.2266986728832725</v>
      </c>
      <c r="DX227" s="775">
        <f t="shared" si="347"/>
        <v>1.9212266694923965</v>
      </c>
      <c r="DY227" s="775">
        <f t="shared" si="348"/>
        <v>27.362223516293977</v>
      </c>
      <c r="DZ227" s="775">
        <f t="shared" si="349"/>
        <v>33.139522424620402</v>
      </c>
      <c r="EA227" s="775"/>
      <c r="EB227" s="775"/>
      <c r="EC227" s="775"/>
      <c r="ED227" s="775"/>
      <c r="EE227" s="775"/>
      <c r="EF227" s="775" t="b">
        <f t="shared" si="390"/>
        <v>0</v>
      </c>
      <c r="EG227" s="775">
        <f t="shared" si="350"/>
        <v>37.98206642899693</v>
      </c>
      <c r="EH227" s="775">
        <v>87</v>
      </c>
      <c r="EI227" s="775">
        <f t="shared" si="395"/>
        <v>43.5</v>
      </c>
      <c r="EJ227" s="673">
        <f t="shared" si="351"/>
        <v>5.5179335710030681</v>
      </c>
      <c r="EK227" s="673">
        <f t="shared" si="352"/>
        <v>2.2510196371999172</v>
      </c>
      <c r="EL227" s="775" t="b">
        <f t="shared" si="353"/>
        <v>0</v>
      </c>
      <c r="EM227" s="673"/>
      <c r="EN227" s="775">
        <f t="shared" si="354"/>
        <v>5.5179335710030681</v>
      </c>
      <c r="EO227" s="775">
        <f t="shared" si="355"/>
        <v>2.9799420980563748E-2</v>
      </c>
      <c r="EP227" s="775">
        <f t="shared" si="356"/>
        <v>1.9931030073988688E-3</v>
      </c>
      <c r="EQ227" s="775">
        <f t="shared" si="357"/>
        <v>5.3166415590377873</v>
      </c>
      <c r="ER227" s="775">
        <f t="shared" si="358"/>
        <v>2.6160420654730276</v>
      </c>
      <c r="ES227" s="775">
        <f t="shared" si="359"/>
        <v>4.8136891226864238</v>
      </c>
      <c r="ET227" s="775">
        <f t="shared" si="360"/>
        <v>9.4655871749588414</v>
      </c>
      <c r="EU227" s="775">
        <f t="shared" si="361"/>
        <v>2.5460171381987799</v>
      </c>
      <c r="EV227" s="775">
        <f t="shared" si="362"/>
        <v>3.6198787594674142</v>
      </c>
      <c r="EW227" s="775">
        <f t="shared" si="363"/>
        <v>37.249276225704683</v>
      </c>
      <c r="EX227" s="775">
        <f t="shared" si="364"/>
        <v>6.0383508017520873</v>
      </c>
      <c r="EY227" s="775">
        <f t="shared" si="391"/>
        <v>38.094699918512447</v>
      </c>
      <c r="EZ227" s="775">
        <f t="shared" si="365"/>
        <v>17.315772690232929</v>
      </c>
      <c r="FA227" s="775">
        <f t="shared" si="366"/>
        <v>5.5179335710030681</v>
      </c>
      <c r="FB227" s="775">
        <f t="shared" si="367"/>
        <v>3.9194348352282118</v>
      </c>
      <c r="FC227" s="775"/>
      <c r="FD227" s="775"/>
      <c r="FE227" s="775"/>
      <c r="FF227" s="775"/>
      <c r="FG227" s="775"/>
      <c r="FH227" s="775"/>
      <c r="FI227" s="775"/>
      <c r="FJ227" s="775"/>
      <c r="FK227" s="775" t="b">
        <f t="shared" si="392"/>
        <v>0</v>
      </c>
      <c r="FL227" s="775">
        <f t="shared" si="368"/>
        <v>26.639522424620402</v>
      </c>
      <c r="FM227" s="775">
        <v>87</v>
      </c>
      <c r="FN227" s="775">
        <f t="shared" si="393"/>
        <v>6.5</v>
      </c>
      <c r="FO227" s="673">
        <f t="shared" si="312"/>
        <v>33.139522424620402</v>
      </c>
      <c r="FP227" s="673">
        <f t="shared" si="369"/>
        <v>24.403675819467587</v>
      </c>
      <c r="FQ227" s="775" t="b">
        <f t="shared" si="370"/>
        <v>1</v>
      </c>
      <c r="FR227" s="673"/>
      <c r="FS227" s="775">
        <f t="shared" si="371"/>
        <v>33.139522424620402</v>
      </c>
      <c r="FT227" s="775">
        <f t="shared" si="372"/>
        <v>0.26857840784415682</v>
      </c>
      <c r="FU227" s="775">
        <f t="shared" si="373"/>
        <v>3.1638679851468489E-2</v>
      </c>
      <c r="FV227" s="775">
        <f t="shared" si="374"/>
        <v>1.1804521224518914</v>
      </c>
      <c r="FW227" s="775">
        <f t="shared" si="375"/>
        <v>0.72488165416121964</v>
      </c>
      <c r="FX227" s="775">
        <f t="shared" si="376"/>
        <v>33.899045775198474</v>
      </c>
      <c r="FY227" s="775">
        <f t="shared" si="377"/>
        <v>57.862961639387471</v>
      </c>
      <c r="FZ227" s="775">
        <f t="shared" si="378"/>
        <v>22.009111075983622</v>
      </c>
      <c r="GA227" s="775">
        <f t="shared" si="379"/>
        <v>34.457755607191757</v>
      </c>
      <c r="GB227" s="775">
        <f t="shared" si="380"/>
        <v>377.08408461319618</v>
      </c>
      <c r="GC227" s="775">
        <f t="shared" si="381"/>
        <v>15.355332744595874</v>
      </c>
      <c r="GD227" s="775">
        <f t="shared" si="382"/>
        <v>1.5397626781188236</v>
      </c>
      <c r="GE227" s="775">
        <f t="shared" si="383"/>
        <v>0.69989212641764709</v>
      </c>
      <c r="GF227" s="775">
        <f t="shared" si="384"/>
        <v>32.769083306539798</v>
      </c>
      <c r="GG227" s="775">
        <f t="shared" si="385"/>
        <v>33.139522424620402</v>
      </c>
    </row>
    <row r="228" spans="70:189">
      <c r="BR228" s="775"/>
      <c r="BS228" s="775"/>
      <c r="BT228" s="775"/>
      <c r="BU228" s="775"/>
      <c r="BV228" s="775"/>
      <c r="BW228" s="775"/>
      <c r="BX228" s="775"/>
      <c r="BY228" s="775" t="b">
        <f t="shared" si="386"/>
        <v>0</v>
      </c>
      <c r="BZ228" s="775">
        <f t="shared" si="313"/>
        <v>38.464297630523092</v>
      </c>
      <c r="CA228" s="775">
        <v>88</v>
      </c>
      <c r="CB228" s="775">
        <f t="shared" si="394"/>
        <v>44</v>
      </c>
      <c r="CC228" s="673">
        <f t="shared" si="314"/>
        <v>5.5357023694769047</v>
      </c>
      <c r="CD228" s="91">
        <f t="shared" si="315"/>
        <v>2</v>
      </c>
      <c r="CE228" s="775" t="b">
        <f t="shared" si="316"/>
        <v>0</v>
      </c>
      <c r="CF228" s="673"/>
      <c r="CG228" s="775">
        <f t="shared" si="317"/>
        <v>5.5357023694769047</v>
      </c>
      <c r="CH228" s="775">
        <f t="shared" si="318"/>
        <v>2.9467525934783322E-2</v>
      </c>
      <c r="CI228" s="775">
        <f t="shared" si="319"/>
        <v>1.9709045554787055E-3</v>
      </c>
      <c r="CJ228" s="775">
        <f t="shared" si="320"/>
        <v>5.3196503332680249</v>
      </c>
      <c r="CK228" s="775">
        <f t="shared" si="321"/>
        <v>2.6167558433225695</v>
      </c>
      <c r="CL228" s="775">
        <f t="shared" si="322"/>
        <v>4.8271864866324607</v>
      </c>
      <c r="CM228" s="775">
        <f t="shared" si="323"/>
        <v>9.4921282480957068</v>
      </c>
      <c r="CN228" s="775">
        <f t="shared" si="324"/>
        <v>2.5497817150352775</v>
      </c>
      <c r="CO228" s="775">
        <f t="shared" si="325"/>
        <v>3.6250970735018533</v>
      </c>
      <c r="CP228" s="775">
        <f t="shared" si="326"/>
        <v>36.834407418479152</v>
      </c>
      <c r="CQ228" s="775">
        <f t="shared" si="327"/>
        <v>5.9710978602572533</v>
      </c>
      <c r="CR228" s="775">
        <f t="shared" si="387"/>
        <v>38.523763498584572</v>
      </c>
      <c r="CS228" s="775">
        <f t="shared" si="328"/>
        <v>17.510801590265714</v>
      </c>
      <c r="CT228" s="775">
        <f t="shared" si="329"/>
        <v>5.5357023694769047</v>
      </c>
      <c r="CU228" s="775">
        <f t="shared" si="330"/>
        <v>3.9265397882888351</v>
      </c>
      <c r="CV228" s="775"/>
      <c r="CW228" s="775"/>
      <c r="CX228" s="775"/>
      <c r="CY228" s="775"/>
      <c r="CZ228" s="775"/>
      <c r="DA228" s="775"/>
      <c r="DB228" s="775"/>
      <c r="DC228" s="775"/>
      <c r="DD228" s="775" t="b">
        <f t="shared" si="388"/>
        <v>0</v>
      </c>
      <c r="DE228" s="775">
        <f t="shared" si="331"/>
        <v>21.01129384679426</v>
      </c>
      <c r="DF228" s="776">
        <v>89</v>
      </c>
      <c r="DG228" s="775">
        <f t="shared" si="389"/>
        <v>6</v>
      </c>
      <c r="DH228" s="673">
        <f t="shared" si="332"/>
        <v>27.01129384679426</v>
      </c>
      <c r="DI228" s="673">
        <f t="shared" si="333"/>
        <v>19</v>
      </c>
      <c r="DJ228" s="775" t="b">
        <f t="shared" si="334"/>
        <v>1</v>
      </c>
      <c r="DK228" s="673"/>
      <c r="DL228" s="775">
        <f t="shared" si="335"/>
        <v>27.01129384679426</v>
      </c>
      <c r="DM228" s="775">
        <f t="shared" si="336"/>
        <v>0.28764857045546183</v>
      </c>
      <c r="DN228" s="775">
        <f t="shared" si="337"/>
        <v>3.388515518959255E-2</v>
      </c>
      <c r="DO228" s="775">
        <f t="shared" si="338"/>
        <v>1.1508556621884354</v>
      </c>
      <c r="DP228" s="775">
        <f t="shared" si="339"/>
        <v>0.71357658350534592</v>
      </c>
      <c r="DQ228" s="775">
        <f t="shared" si="340"/>
        <v>25.944066326354054</v>
      </c>
      <c r="DR228" s="775">
        <f t="shared" si="341"/>
        <v>44.284447549549341</v>
      </c>
      <c r="DS228" s="775">
        <f t="shared" si="342"/>
        <v>21.684145053211829</v>
      </c>
      <c r="DT228" s="775">
        <f t="shared" si="343"/>
        <v>33.982770970645817</v>
      </c>
      <c r="DU228" s="775">
        <f t="shared" si="344"/>
        <v>403.85859291946838</v>
      </c>
      <c r="DV228" s="775">
        <f t="shared" si="345"/>
        <v>16.445624010899209</v>
      </c>
      <c r="DW228" s="775">
        <f t="shared" si="346"/>
        <v>3.9464823280801569</v>
      </c>
      <c r="DX228" s="775">
        <f t="shared" si="347"/>
        <v>1.7938556036727984</v>
      </c>
      <c r="DY228" s="775">
        <f t="shared" si="348"/>
        <v>27.01129384679426</v>
      </c>
      <c r="DZ228" s="775">
        <f t="shared" si="349"/>
        <v>32.824856540299251</v>
      </c>
      <c r="EA228" s="775"/>
      <c r="EB228" s="775"/>
      <c r="EC228" s="775"/>
      <c r="ED228" s="775"/>
      <c r="EE228" s="775"/>
      <c r="EF228" s="775" t="b">
        <f t="shared" si="390"/>
        <v>0</v>
      </c>
      <c r="EG228" s="775">
        <f t="shared" si="350"/>
        <v>38.464297630523092</v>
      </c>
      <c r="EH228" s="775">
        <v>88</v>
      </c>
      <c r="EI228" s="775">
        <f t="shared" si="395"/>
        <v>44</v>
      </c>
      <c r="EJ228" s="673">
        <f t="shared" si="351"/>
        <v>5.5357023694769047</v>
      </c>
      <c r="EK228" s="673">
        <f t="shared" si="352"/>
        <v>2.2510196371999172</v>
      </c>
      <c r="EL228" s="775" t="b">
        <f t="shared" si="353"/>
        <v>0</v>
      </c>
      <c r="EM228" s="673"/>
      <c r="EN228" s="775">
        <f t="shared" si="354"/>
        <v>5.5357023694769047</v>
      </c>
      <c r="EO228" s="775">
        <f t="shared" si="355"/>
        <v>2.9467525934783322E-2</v>
      </c>
      <c r="EP228" s="775">
        <f t="shared" si="356"/>
        <v>1.9709045554787055E-3</v>
      </c>
      <c r="EQ228" s="775">
        <f t="shared" si="357"/>
        <v>5.3196503332680249</v>
      </c>
      <c r="ER228" s="775">
        <f t="shared" si="358"/>
        <v>2.6167558433225695</v>
      </c>
      <c r="ES228" s="775">
        <f t="shared" si="359"/>
        <v>4.8271864866324607</v>
      </c>
      <c r="ET228" s="775">
        <f t="shared" si="360"/>
        <v>9.4921282480957068</v>
      </c>
      <c r="EU228" s="775">
        <f t="shared" si="361"/>
        <v>2.5497817150352775</v>
      </c>
      <c r="EV228" s="775">
        <f t="shared" si="362"/>
        <v>3.6250970735018533</v>
      </c>
      <c r="EW228" s="775">
        <f t="shared" si="363"/>
        <v>36.834407418479152</v>
      </c>
      <c r="EX228" s="775">
        <f t="shared" si="364"/>
        <v>5.9710978602572533</v>
      </c>
      <c r="EY228" s="775">
        <f t="shared" si="391"/>
        <v>38.523763498584572</v>
      </c>
      <c r="EZ228" s="775">
        <f t="shared" si="365"/>
        <v>17.510801590265714</v>
      </c>
      <c r="FA228" s="775">
        <f t="shared" si="366"/>
        <v>5.5357023694769047</v>
      </c>
      <c r="FB228" s="775">
        <f t="shared" si="367"/>
        <v>3.9265397882888351</v>
      </c>
      <c r="FC228" s="775"/>
      <c r="FD228" s="775"/>
      <c r="FE228" s="775"/>
      <c r="FF228" s="775"/>
      <c r="FG228" s="775"/>
      <c r="FH228" s="775"/>
      <c r="FI228" s="775"/>
      <c r="FJ228" s="775"/>
      <c r="FK228" s="775" t="b">
        <f t="shared" si="392"/>
        <v>0</v>
      </c>
      <c r="FL228" s="775">
        <f t="shared" si="368"/>
        <v>26.824856540299251</v>
      </c>
      <c r="FM228" s="775">
        <v>88</v>
      </c>
      <c r="FN228" s="775">
        <f t="shared" si="393"/>
        <v>6</v>
      </c>
      <c r="FO228" s="673">
        <f t="shared" si="312"/>
        <v>32.824856540299251</v>
      </c>
      <c r="FP228" s="673">
        <f t="shared" si="369"/>
        <v>24.403675819467587</v>
      </c>
      <c r="FQ228" s="775" t="b">
        <f t="shared" si="370"/>
        <v>1</v>
      </c>
      <c r="FR228" s="673"/>
      <c r="FS228" s="775">
        <f t="shared" si="371"/>
        <v>32.824856540299251</v>
      </c>
      <c r="FT228" s="775">
        <f t="shared" si="372"/>
        <v>0.28764857045546183</v>
      </c>
      <c r="FU228" s="775">
        <f t="shared" si="373"/>
        <v>3.388515518959255E-2</v>
      </c>
      <c r="FV228" s="775">
        <f t="shared" si="374"/>
        <v>1.1508556621884354</v>
      </c>
      <c r="FW228" s="775">
        <f t="shared" si="375"/>
        <v>0.71357658350534592</v>
      </c>
      <c r="FX228" s="775">
        <f t="shared" si="376"/>
        <v>33.322662319321566</v>
      </c>
      <c r="FY228" s="775">
        <f t="shared" si="377"/>
        <v>56.879121149653571</v>
      </c>
      <c r="FZ228" s="775">
        <f t="shared" si="378"/>
        <v>21.684145053211829</v>
      </c>
      <c r="GA228" s="775">
        <f t="shared" si="379"/>
        <v>33.982770970645817</v>
      </c>
      <c r="GB228" s="775">
        <f t="shared" si="380"/>
        <v>403.85859291946838</v>
      </c>
      <c r="GC228" s="775">
        <f t="shared" si="381"/>
        <v>16.445624010899209</v>
      </c>
      <c r="GD228" s="775">
        <f t="shared" si="382"/>
        <v>1.4376814315197171</v>
      </c>
      <c r="GE228" s="775">
        <f t="shared" si="383"/>
        <v>0.65349155978168949</v>
      </c>
      <c r="GF228" s="775">
        <f t="shared" si="384"/>
        <v>32.382599742972594</v>
      </c>
      <c r="GG228" s="775">
        <f t="shared" si="385"/>
        <v>32.824856540299251</v>
      </c>
    </row>
    <row r="229" spans="70:189">
      <c r="BR229" s="775"/>
      <c r="BS229" s="775"/>
      <c r="BT229" s="775"/>
      <c r="BU229" s="775"/>
      <c r="BV229" s="775"/>
      <c r="BW229" s="775"/>
      <c r="BX229" s="775"/>
      <c r="BY229" s="775" t="b">
        <f t="shared" si="386"/>
        <v>0</v>
      </c>
      <c r="BZ229" s="775">
        <f t="shared" si="313"/>
        <v>38.94668722940029</v>
      </c>
      <c r="CA229" s="775">
        <v>89</v>
      </c>
      <c r="CB229" s="775">
        <f t="shared" si="394"/>
        <v>44.5</v>
      </c>
      <c r="CC229" s="673">
        <f t="shared" si="314"/>
        <v>5.553312770599713</v>
      </c>
      <c r="CD229" s="91">
        <f t="shared" si="315"/>
        <v>2</v>
      </c>
      <c r="CE229" s="775" t="b">
        <f t="shared" si="316"/>
        <v>0</v>
      </c>
      <c r="CF229" s="673"/>
      <c r="CG229" s="775">
        <f t="shared" si="317"/>
        <v>5.553312770599713</v>
      </c>
      <c r="CH229" s="775">
        <f t="shared" si="318"/>
        <v>2.9143015455891794E-2</v>
      </c>
      <c r="CI229" s="775">
        <f t="shared" si="319"/>
        <v>1.9492000125671837E-3</v>
      </c>
      <c r="CJ229" s="775">
        <f t="shared" si="320"/>
        <v>5.3225964473650205</v>
      </c>
      <c r="CK229" s="775">
        <f t="shared" si="321"/>
        <v>2.6174543050288364</v>
      </c>
      <c r="CL229" s="775">
        <f t="shared" si="322"/>
        <v>4.8405685412704136</v>
      </c>
      <c r="CM229" s="775">
        <f t="shared" si="323"/>
        <v>9.5184425782336124</v>
      </c>
      <c r="CN229" s="775">
        <f t="shared" si="324"/>
        <v>2.5535087116925599</v>
      </c>
      <c r="CO229" s="775">
        <f t="shared" si="325"/>
        <v>3.6302634251089598</v>
      </c>
      <c r="CP229" s="775">
        <f t="shared" si="326"/>
        <v>36.428769319864742</v>
      </c>
      <c r="CQ229" s="775">
        <f t="shared" si="327"/>
        <v>5.9053412768770031</v>
      </c>
      <c r="CR229" s="775">
        <f t="shared" si="387"/>
        <v>38.952729573167709</v>
      </c>
      <c r="CS229" s="775">
        <f t="shared" si="328"/>
        <v>17.705786169621685</v>
      </c>
      <c r="CT229" s="775">
        <f t="shared" si="329"/>
        <v>5.553312770599713</v>
      </c>
      <c r="CU229" s="775">
        <f t="shared" si="330"/>
        <v>3.9335729572554814</v>
      </c>
      <c r="CV229" s="775"/>
      <c r="CW229" s="775"/>
      <c r="CX229" s="775"/>
      <c r="CY229" s="775"/>
      <c r="CZ229" s="775"/>
      <c r="DA229" s="775"/>
      <c r="DB229" s="775"/>
      <c r="DC229" s="775"/>
      <c r="DD229" s="775" t="b">
        <f t="shared" si="388"/>
        <v>0</v>
      </c>
      <c r="DE229" s="775">
        <f t="shared" si="331"/>
        <v>21.132814091513389</v>
      </c>
      <c r="DF229" s="776">
        <v>90</v>
      </c>
      <c r="DG229" s="775">
        <f t="shared" si="389"/>
        <v>5.5</v>
      </c>
      <c r="DH229" s="673">
        <f t="shared" si="332"/>
        <v>26.632814091513389</v>
      </c>
      <c r="DI229" s="673">
        <f t="shared" si="333"/>
        <v>19</v>
      </c>
      <c r="DJ229" s="775" t="b">
        <f t="shared" si="334"/>
        <v>1</v>
      </c>
      <c r="DK229" s="673"/>
      <c r="DL229" s="775">
        <f t="shared" si="335"/>
        <v>26.632814091513389</v>
      </c>
      <c r="DM229" s="775">
        <f t="shared" si="336"/>
        <v>0.30991815411654022</v>
      </c>
      <c r="DN229" s="775">
        <f t="shared" si="337"/>
        <v>3.6508524035710616E-2</v>
      </c>
      <c r="DO229" s="775">
        <f t="shared" si="338"/>
        <v>1.1186285292414222</v>
      </c>
      <c r="DP229" s="775">
        <f t="shared" si="339"/>
        <v>0.70102138661240143</v>
      </c>
      <c r="DQ229" s="775">
        <f t="shared" si="340"/>
        <v>25.464892478469302</v>
      </c>
      <c r="DR229" s="775">
        <f t="shared" si="341"/>
        <v>43.46653609084278</v>
      </c>
      <c r="DS229" s="775">
        <f t="shared" si="342"/>
        <v>21.335636891267381</v>
      </c>
      <c r="DT229" s="775">
        <f t="shared" si="343"/>
        <v>33.472543381542984</v>
      </c>
      <c r="DU229" s="775">
        <f t="shared" si="344"/>
        <v>435.12508837962247</v>
      </c>
      <c r="DV229" s="775">
        <f t="shared" si="345"/>
        <v>17.718834578883126</v>
      </c>
      <c r="DW229" s="775">
        <f t="shared" si="346"/>
        <v>3.6629025596645897</v>
      </c>
      <c r="DX229" s="775">
        <f t="shared" si="347"/>
        <v>1.6649557089384497</v>
      </c>
      <c r="DY229" s="775">
        <f t="shared" si="348"/>
        <v>26.632814091513389</v>
      </c>
      <c r="DZ229" s="775">
        <f t="shared" si="349"/>
        <v>32.483526658538011</v>
      </c>
      <c r="EA229" s="775"/>
      <c r="EB229" s="775"/>
      <c r="EC229" s="775"/>
      <c r="ED229" s="775"/>
      <c r="EE229" s="775"/>
      <c r="EF229" s="775" t="b">
        <f t="shared" si="390"/>
        <v>0</v>
      </c>
      <c r="EG229" s="775">
        <f t="shared" si="350"/>
        <v>38.94668722940029</v>
      </c>
      <c r="EH229" s="775">
        <v>89</v>
      </c>
      <c r="EI229" s="775">
        <f t="shared" si="395"/>
        <v>44.5</v>
      </c>
      <c r="EJ229" s="673">
        <f t="shared" si="351"/>
        <v>5.553312770599713</v>
      </c>
      <c r="EK229" s="673">
        <f t="shared" si="352"/>
        <v>2.2510196371999172</v>
      </c>
      <c r="EL229" s="775" t="b">
        <f t="shared" si="353"/>
        <v>0</v>
      </c>
      <c r="EM229" s="673"/>
      <c r="EN229" s="775">
        <f t="shared" si="354"/>
        <v>5.553312770599713</v>
      </c>
      <c r="EO229" s="775">
        <f t="shared" si="355"/>
        <v>2.9143015455891794E-2</v>
      </c>
      <c r="EP229" s="775">
        <f t="shared" si="356"/>
        <v>1.9492000125671837E-3</v>
      </c>
      <c r="EQ229" s="775">
        <f t="shared" si="357"/>
        <v>5.3225964473650205</v>
      </c>
      <c r="ER229" s="775">
        <f t="shared" si="358"/>
        <v>2.6174543050288364</v>
      </c>
      <c r="ES229" s="775">
        <f t="shared" si="359"/>
        <v>4.8405685412704136</v>
      </c>
      <c r="ET229" s="775">
        <f t="shared" si="360"/>
        <v>9.5184425782336124</v>
      </c>
      <c r="EU229" s="775">
        <f t="shared" si="361"/>
        <v>2.5535087116925599</v>
      </c>
      <c r="EV229" s="775">
        <f t="shared" si="362"/>
        <v>3.6302634251089598</v>
      </c>
      <c r="EW229" s="775">
        <f t="shared" si="363"/>
        <v>36.428769319864742</v>
      </c>
      <c r="EX229" s="775">
        <f t="shared" si="364"/>
        <v>5.9053412768770031</v>
      </c>
      <c r="EY229" s="775">
        <f t="shared" si="391"/>
        <v>38.952729573167709</v>
      </c>
      <c r="EZ229" s="775">
        <f t="shared" si="365"/>
        <v>17.705786169621685</v>
      </c>
      <c r="FA229" s="775">
        <f t="shared" si="366"/>
        <v>5.553312770599713</v>
      </c>
      <c r="FB229" s="775">
        <f t="shared" si="367"/>
        <v>3.9335729572554814</v>
      </c>
      <c r="FC229" s="775"/>
      <c r="FD229" s="775"/>
      <c r="FE229" s="775"/>
      <c r="FF229" s="775"/>
      <c r="FG229" s="775"/>
      <c r="FH229" s="775"/>
      <c r="FI229" s="775"/>
      <c r="FJ229" s="775"/>
      <c r="FK229" s="775" t="b">
        <f t="shared" si="392"/>
        <v>0</v>
      </c>
      <c r="FL229" s="775">
        <f t="shared" si="368"/>
        <v>26.983526658538011</v>
      </c>
      <c r="FM229" s="775">
        <v>89</v>
      </c>
      <c r="FN229" s="775">
        <f t="shared" si="393"/>
        <v>5.5</v>
      </c>
      <c r="FO229" s="673">
        <f t="shared" si="312"/>
        <v>32.483526658538011</v>
      </c>
      <c r="FP229" s="673">
        <f t="shared" si="369"/>
        <v>24.403675819467587</v>
      </c>
      <c r="FQ229" s="775" t="b">
        <f t="shared" si="370"/>
        <v>1</v>
      </c>
      <c r="FR229" s="673"/>
      <c r="FS229" s="775">
        <f t="shared" si="371"/>
        <v>32.483526658538011</v>
      </c>
      <c r="FT229" s="775">
        <f t="shared" si="372"/>
        <v>0.30991815411654022</v>
      </c>
      <c r="FU229" s="775">
        <f t="shared" si="373"/>
        <v>3.6508524035710616E-2</v>
      </c>
      <c r="FV229" s="775">
        <f t="shared" si="374"/>
        <v>1.1186285292414222</v>
      </c>
      <c r="FW229" s="775">
        <f t="shared" si="375"/>
        <v>0.70102138661240143</v>
      </c>
      <c r="FX229" s="775">
        <f t="shared" si="376"/>
        <v>32.70720951695597</v>
      </c>
      <c r="FY229" s="775">
        <f t="shared" si="377"/>
        <v>55.828592408216579</v>
      </c>
      <c r="FZ229" s="775">
        <f t="shared" si="378"/>
        <v>21.335636891267381</v>
      </c>
      <c r="GA229" s="775">
        <f t="shared" si="379"/>
        <v>33.472543381542984</v>
      </c>
      <c r="GB229" s="775">
        <f t="shared" si="380"/>
        <v>435.12508837962247</v>
      </c>
      <c r="GC229" s="775">
        <f t="shared" si="381"/>
        <v>17.718834578883126</v>
      </c>
      <c r="GD229" s="775">
        <f t="shared" si="382"/>
        <v>1.3343749085169763</v>
      </c>
      <c r="GE229" s="775">
        <f t="shared" si="383"/>
        <v>0.60653404932589827</v>
      </c>
      <c r="GF229" s="775">
        <f t="shared" si="384"/>
        <v>31.964983156176253</v>
      </c>
      <c r="GG229" s="775">
        <f t="shared" si="385"/>
        <v>32.483526658538011</v>
      </c>
    </row>
    <row r="230" spans="70:189">
      <c r="BR230" s="775"/>
      <c r="BS230" s="775"/>
      <c r="BT230" s="775"/>
      <c r="BU230" s="775"/>
      <c r="BV230" s="775"/>
      <c r="BW230" s="775"/>
      <c r="BX230" s="775"/>
      <c r="BY230" s="775" t="b">
        <f t="shared" si="386"/>
        <v>0</v>
      </c>
      <c r="BZ230" s="775">
        <f t="shared" si="313"/>
        <v>39.429232074144103</v>
      </c>
      <c r="CA230" s="775">
        <v>90</v>
      </c>
      <c r="CB230" s="775">
        <f t="shared" si="394"/>
        <v>45</v>
      </c>
      <c r="CC230" s="673">
        <f t="shared" si="314"/>
        <v>5.5707679258558986</v>
      </c>
      <c r="CD230" s="91">
        <f t="shared" si="315"/>
        <v>2</v>
      </c>
      <c r="CE230" s="775" t="b">
        <f t="shared" si="316"/>
        <v>0</v>
      </c>
      <c r="CF230" s="673"/>
      <c r="CG230" s="775">
        <f t="shared" si="317"/>
        <v>5.5707679258558986</v>
      </c>
      <c r="CH230" s="775">
        <f t="shared" si="318"/>
        <v>2.8825645005299778E-2</v>
      </c>
      <c r="CI230" s="775">
        <f t="shared" si="319"/>
        <v>1.9279730229573165E-3</v>
      </c>
      <c r="CJ230" s="775">
        <f t="shared" si="320"/>
        <v>5.325481846480371</v>
      </c>
      <c r="CK230" s="775">
        <f t="shared" si="321"/>
        <v>2.618137940118614</v>
      </c>
      <c r="CL230" s="775">
        <f t="shared" si="322"/>
        <v>4.8538375508742808</v>
      </c>
      <c r="CM230" s="775">
        <f t="shared" si="323"/>
        <v>9.5445346178169004</v>
      </c>
      <c r="CN230" s="775">
        <f t="shared" si="324"/>
        <v>2.5571989197416127</v>
      </c>
      <c r="CO230" s="775">
        <f t="shared" si="325"/>
        <v>3.6353789073543101</v>
      </c>
      <c r="CP230" s="775">
        <f t="shared" si="326"/>
        <v>36.03205625662472</v>
      </c>
      <c r="CQ230" s="775">
        <f t="shared" si="327"/>
        <v>5.8410314999845374</v>
      </c>
      <c r="CR230" s="775">
        <f t="shared" si="387"/>
        <v>39.381599259662231</v>
      </c>
      <c r="CS230" s="775">
        <f t="shared" si="328"/>
        <v>17.900726936210102</v>
      </c>
      <c r="CT230" s="775">
        <f t="shared" si="329"/>
        <v>5.5707679258558986</v>
      </c>
      <c r="CU230" s="775">
        <f t="shared" si="330"/>
        <v>3.9405358611374668</v>
      </c>
      <c r="CV230" s="775"/>
      <c r="CW230" s="775"/>
      <c r="CX230" s="775"/>
      <c r="CY230" s="775"/>
      <c r="CZ230" s="775"/>
      <c r="DA230" s="775"/>
      <c r="DB230" s="775"/>
      <c r="DC230" s="775"/>
      <c r="DD230" s="775" t="b">
        <f t="shared" si="388"/>
        <v>0</v>
      </c>
      <c r="DE230" s="775">
        <f t="shared" si="331"/>
        <v>21.221856578531987</v>
      </c>
      <c r="DF230" s="776">
        <v>91</v>
      </c>
      <c r="DG230" s="775">
        <f t="shared" si="389"/>
        <v>5</v>
      </c>
      <c r="DH230" s="673">
        <f t="shared" si="332"/>
        <v>26.221856578531987</v>
      </c>
      <c r="DI230" s="673">
        <f t="shared" si="333"/>
        <v>19</v>
      </c>
      <c r="DJ230" s="775" t="b">
        <f t="shared" si="334"/>
        <v>1</v>
      </c>
      <c r="DK230" s="673"/>
      <c r="DL230" s="775">
        <f t="shared" si="335"/>
        <v>26.221856578531987</v>
      </c>
      <c r="DM230" s="775">
        <f t="shared" si="336"/>
        <v>0.33629510653000666</v>
      </c>
      <c r="DN230" s="775">
        <f t="shared" si="337"/>
        <v>3.961574311398932E-2</v>
      </c>
      <c r="DO230" s="775">
        <f t="shared" si="338"/>
        <v>1.0833430011852809</v>
      </c>
      <c r="DP230" s="775">
        <f t="shared" si="339"/>
        <v>0.6869744725758623</v>
      </c>
      <c r="DQ230" s="775">
        <f t="shared" si="340"/>
        <v>24.9501674095997</v>
      </c>
      <c r="DR230" s="775">
        <f t="shared" si="341"/>
        <v>42.587941539469789</v>
      </c>
      <c r="DS230" s="775">
        <f t="shared" si="342"/>
        <v>20.959510330006871</v>
      </c>
      <c r="DT230" s="775">
        <f t="shared" si="343"/>
        <v>32.920901475361603</v>
      </c>
      <c r="DU230" s="775">
        <f t="shared" si="344"/>
        <v>472.15832956812937</v>
      </c>
      <c r="DV230" s="775">
        <f t="shared" si="345"/>
        <v>19.22687420257531</v>
      </c>
      <c r="DW230" s="775">
        <f t="shared" si="346"/>
        <v>3.37560665605079</v>
      </c>
      <c r="DX230" s="775">
        <f t="shared" si="347"/>
        <v>1.5343666618412681</v>
      </c>
      <c r="DY230" s="775">
        <f t="shared" si="348"/>
        <v>26.221856578531987</v>
      </c>
      <c r="DZ230" s="775">
        <f t="shared" si="349"/>
        <v>32.110567567294041</v>
      </c>
      <c r="EA230" s="775"/>
      <c r="EB230" s="775"/>
      <c r="EC230" s="775"/>
      <c r="ED230" s="775"/>
      <c r="EE230" s="775"/>
      <c r="EF230" s="775" t="b">
        <f t="shared" si="390"/>
        <v>0</v>
      </c>
      <c r="EG230" s="775">
        <f t="shared" si="350"/>
        <v>39.429232074144103</v>
      </c>
      <c r="EH230" s="775">
        <v>90</v>
      </c>
      <c r="EI230" s="775">
        <f t="shared" si="395"/>
        <v>45</v>
      </c>
      <c r="EJ230" s="673">
        <f t="shared" si="351"/>
        <v>5.5707679258558986</v>
      </c>
      <c r="EK230" s="673">
        <f t="shared" si="352"/>
        <v>2.2510196371999172</v>
      </c>
      <c r="EL230" s="775" t="b">
        <f t="shared" si="353"/>
        <v>0</v>
      </c>
      <c r="EM230" s="673"/>
      <c r="EN230" s="775">
        <f t="shared" si="354"/>
        <v>5.5707679258558986</v>
      </c>
      <c r="EO230" s="775">
        <f t="shared" si="355"/>
        <v>2.8825645005299778E-2</v>
      </c>
      <c r="EP230" s="775">
        <f t="shared" si="356"/>
        <v>1.9279730229573165E-3</v>
      </c>
      <c r="EQ230" s="775">
        <f t="shared" si="357"/>
        <v>5.325481846480371</v>
      </c>
      <c r="ER230" s="775">
        <f t="shared" si="358"/>
        <v>2.618137940118614</v>
      </c>
      <c r="ES230" s="775">
        <f t="shared" si="359"/>
        <v>4.8538375508742808</v>
      </c>
      <c r="ET230" s="775">
        <f t="shared" si="360"/>
        <v>9.5445346178169004</v>
      </c>
      <c r="EU230" s="775">
        <f t="shared" si="361"/>
        <v>2.5571989197416127</v>
      </c>
      <c r="EV230" s="775">
        <f t="shared" si="362"/>
        <v>3.6353789073543101</v>
      </c>
      <c r="EW230" s="775">
        <f t="shared" si="363"/>
        <v>36.03205625662472</v>
      </c>
      <c r="EX230" s="775">
        <f t="shared" si="364"/>
        <v>5.8410314999845374</v>
      </c>
      <c r="EY230" s="775">
        <f t="shared" si="391"/>
        <v>39.381599259662231</v>
      </c>
      <c r="EZ230" s="775">
        <f t="shared" si="365"/>
        <v>17.900726936210102</v>
      </c>
      <c r="FA230" s="775">
        <f t="shared" si="366"/>
        <v>5.5707679258558986</v>
      </c>
      <c r="FB230" s="775">
        <f t="shared" si="367"/>
        <v>3.9405358611374668</v>
      </c>
      <c r="FC230" s="775"/>
      <c r="FD230" s="775"/>
      <c r="FE230" s="775"/>
      <c r="FF230" s="775"/>
      <c r="FG230" s="775"/>
      <c r="FH230" s="775"/>
      <c r="FI230" s="775"/>
      <c r="FJ230" s="775"/>
      <c r="FK230" s="775" t="b">
        <f t="shared" si="392"/>
        <v>0</v>
      </c>
      <c r="FL230" s="775">
        <f t="shared" si="368"/>
        <v>27.110567567294041</v>
      </c>
      <c r="FM230" s="775">
        <v>90</v>
      </c>
      <c r="FN230" s="775">
        <f t="shared" si="393"/>
        <v>5</v>
      </c>
      <c r="FO230" s="673">
        <f t="shared" si="312"/>
        <v>32.110567567294041</v>
      </c>
      <c r="FP230" s="673">
        <f t="shared" si="369"/>
        <v>24.403675819467587</v>
      </c>
      <c r="FQ230" s="775" t="b">
        <f t="shared" si="370"/>
        <v>1</v>
      </c>
      <c r="FR230" s="673"/>
      <c r="FS230" s="775">
        <f t="shared" si="371"/>
        <v>32.110567567294041</v>
      </c>
      <c r="FT230" s="775">
        <f t="shared" si="372"/>
        <v>0.33629510653000666</v>
      </c>
      <c r="FU230" s="775">
        <f t="shared" si="373"/>
        <v>3.961574311398932E-2</v>
      </c>
      <c r="FV230" s="775">
        <f t="shared" si="374"/>
        <v>1.0833430011852809</v>
      </c>
      <c r="FW230" s="775">
        <f t="shared" si="375"/>
        <v>0.6869744725758623</v>
      </c>
      <c r="FX230" s="775">
        <f t="shared" si="376"/>
        <v>32.046094584490341</v>
      </c>
      <c r="FY230" s="775">
        <f t="shared" si="377"/>
        <v>54.700122060403061</v>
      </c>
      <c r="FZ230" s="775">
        <f t="shared" si="378"/>
        <v>20.959510330006871</v>
      </c>
      <c r="GA230" s="775">
        <f t="shared" si="379"/>
        <v>32.920901475361603</v>
      </c>
      <c r="GB230" s="775">
        <f t="shared" si="380"/>
        <v>472.15832956812937</v>
      </c>
      <c r="GC230" s="775">
        <f t="shared" si="381"/>
        <v>19.22687420257531</v>
      </c>
      <c r="GD230" s="775">
        <f t="shared" si="382"/>
        <v>1.2297146182533254</v>
      </c>
      <c r="GE230" s="775">
        <f t="shared" si="383"/>
        <v>0.55896119011514789</v>
      </c>
      <c r="GF230" s="775">
        <f t="shared" si="384"/>
        <v>31.510597239134736</v>
      </c>
      <c r="GG230" s="775">
        <f t="shared" si="385"/>
        <v>32.110567567294041</v>
      </c>
    </row>
    <row r="231" spans="70:189">
      <c r="BR231" s="775"/>
      <c r="BS231" s="775"/>
      <c r="BT231" s="775"/>
      <c r="BU231" s="775"/>
      <c r="BV231" s="775"/>
      <c r="BW231" s="775"/>
      <c r="BX231" s="775"/>
      <c r="BY231" s="775" t="b">
        <f t="shared" si="386"/>
        <v>0</v>
      </c>
      <c r="BZ231" s="775">
        <f t="shared" si="313"/>
        <v>39.911929110039488</v>
      </c>
      <c r="CA231" s="775">
        <v>91</v>
      </c>
      <c r="CB231" s="775">
        <f t="shared" si="394"/>
        <v>45.5</v>
      </c>
      <c r="CC231" s="673">
        <f t="shared" si="314"/>
        <v>5.5880708899605107</v>
      </c>
      <c r="CD231" s="91">
        <f t="shared" si="315"/>
        <v>2</v>
      </c>
      <c r="CE231" s="775" t="b">
        <f t="shared" si="316"/>
        <v>0</v>
      </c>
      <c r="CF231" s="673"/>
      <c r="CG231" s="775">
        <f t="shared" si="317"/>
        <v>5.5880708899605107</v>
      </c>
      <c r="CH231" s="775">
        <f t="shared" si="318"/>
        <v>2.8515180740808523E-2</v>
      </c>
      <c r="CI231" s="775">
        <f t="shared" si="319"/>
        <v>1.9072079463589829E-3</v>
      </c>
      <c r="CJ231" s="775">
        <f t="shared" si="320"/>
        <v>5.3283083958955917</v>
      </c>
      <c r="CK231" s="775">
        <f t="shared" si="321"/>
        <v>2.6188072174373245</v>
      </c>
      <c r="CL231" s="775">
        <f t="shared" si="322"/>
        <v>4.8669957106922856</v>
      </c>
      <c r="CM231" s="775">
        <f t="shared" si="323"/>
        <v>9.5704086835583624</v>
      </c>
      <c r="CN231" s="775">
        <f t="shared" si="324"/>
        <v>2.5608531055071468</v>
      </c>
      <c r="CO231" s="775">
        <f t="shared" si="325"/>
        <v>3.64044457847268</v>
      </c>
      <c r="CP231" s="775">
        <f t="shared" si="326"/>
        <v>35.643975926010654</v>
      </c>
      <c r="CQ231" s="775">
        <f t="shared" si="327"/>
        <v>5.7781211453964776</v>
      </c>
      <c r="CR231" s="775">
        <f t="shared" si="387"/>
        <v>39.810373650390282</v>
      </c>
      <c r="CS231" s="775">
        <f t="shared" si="328"/>
        <v>18.095624386541036</v>
      </c>
      <c r="CT231" s="775">
        <f t="shared" si="329"/>
        <v>5.5880708899605107</v>
      </c>
      <c r="CU231" s="775">
        <f t="shared" si="330"/>
        <v>3.9474299703647051</v>
      </c>
      <c r="CV231" s="775"/>
      <c r="CW231" s="775"/>
      <c r="CX231" s="775"/>
      <c r="CY231" s="775"/>
      <c r="CZ231" s="775"/>
      <c r="DA231" s="775"/>
      <c r="DB231" s="775"/>
      <c r="DC231" s="775"/>
      <c r="DD231" s="775" t="b">
        <f t="shared" si="388"/>
        <v>0</v>
      </c>
      <c r="DE231" s="775">
        <f t="shared" si="331"/>
        <v>21.272007235002057</v>
      </c>
      <c r="DF231" s="776">
        <v>92</v>
      </c>
      <c r="DG231" s="775">
        <f t="shared" si="389"/>
        <v>4.5</v>
      </c>
      <c r="DH231" s="673">
        <f t="shared" si="332"/>
        <v>25.772007235002057</v>
      </c>
      <c r="DI231" s="673">
        <f t="shared" si="333"/>
        <v>19</v>
      </c>
      <c r="DJ231" s="775" t="b">
        <f t="shared" si="334"/>
        <v>1</v>
      </c>
      <c r="DK231" s="673"/>
      <c r="DL231" s="775">
        <f t="shared" si="335"/>
        <v>25.772007235002057</v>
      </c>
      <c r="DM231" s="775">
        <f t="shared" si="336"/>
        <v>0.36807364103307155</v>
      </c>
      <c r="DN231" s="775">
        <f t="shared" si="337"/>
        <v>4.3359271446597202E-2</v>
      </c>
      <c r="DO231" s="775">
        <f t="shared" si="338"/>
        <v>1.0444595666173535</v>
      </c>
      <c r="DP231" s="775">
        <f t="shared" si="339"/>
        <v>0.67112231267514966</v>
      </c>
      <c r="DQ231" s="775">
        <f t="shared" si="340"/>
        <v>24.393264314347519</v>
      </c>
      <c r="DR231" s="775">
        <f t="shared" si="341"/>
        <v>41.637352468286871</v>
      </c>
      <c r="DS231" s="775">
        <f t="shared" si="342"/>
        <v>20.55048390222208</v>
      </c>
      <c r="DT231" s="775">
        <f t="shared" si="343"/>
        <v>32.319835658289207</v>
      </c>
      <c r="DU231" s="775">
        <f t="shared" si="344"/>
        <v>516.77539201043248</v>
      </c>
      <c r="DV231" s="775">
        <f t="shared" si="345"/>
        <v>21.043736456496063</v>
      </c>
      <c r="DW231" s="775">
        <f t="shared" si="346"/>
        <v>3.0841654317158826</v>
      </c>
      <c r="DX231" s="775">
        <f t="shared" si="347"/>
        <v>1.4018933780526739</v>
      </c>
      <c r="DY231" s="775">
        <f t="shared" si="348"/>
        <v>25.772007235002057</v>
      </c>
      <c r="DZ231" s="775">
        <f t="shared" si="349"/>
        <v>31.699474385144583</v>
      </c>
      <c r="EA231" s="775"/>
      <c r="EB231" s="775"/>
      <c r="EC231" s="775"/>
      <c r="ED231" s="775"/>
      <c r="EE231" s="775"/>
      <c r="EF231" s="775" t="b">
        <f t="shared" si="390"/>
        <v>0</v>
      </c>
      <c r="EG231" s="775">
        <f t="shared" si="350"/>
        <v>39.911929110039488</v>
      </c>
      <c r="EH231" s="775">
        <v>91</v>
      </c>
      <c r="EI231" s="775">
        <f t="shared" si="395"/>
        <v>45.5</v>
      </c>
      <c r="EJ231" s="673">
        <f t="shared" si="351"/>
        <v>5.5880708899605107</v>
      </c>
      <c r="EK231" s="673">
        <f t="shared" si="352"/>
        <v>2.2510196371999172</v>
      </c>
      <c r="EL231" s="775" t="b">
        <f t="shared" si="353"/>
        <v>0</v>
      </c>
      <c r="EM231" s="673"/>
      <c r="EN231" s="775">
        <f t="shared" si="354"/>
        <v>5.5880708899605107</v>
      </c>
      <c r="EO231" s="775">
        <f t="shared" si="355"/>
        <v>2.8515180740808523E-2</v>
      </c>
      <c r="EP231" s="775">
        <f t="shared" si="356"/>
        <v>1.9072079463589829E-3</v>
      </c>
      <c r="EQ231" s="775">
        <f t="shared" si="357"/>
        <v>5.3283083958955917</v>
      </c>
      <c r="ER231" s="775">
        <f t="shared" si="358"/>
        <v>2.6188072174373245</v>
      </c>
      <c r="ES231" s="775">
        <f t="shared" si="359"/>
        <v>4.8669957106922856</v>
      </c>
      <c r="ET231" s="775">
        <f t="shared" si="360"/>
        <v>9.5704086835583624</v>
      </c>
      <c r="EU231" s="775">
        <f t="shared" si="361"/>
        <v>2.5608531055071468</v>
      </c>
      <c r="EV231" s="775">
        <f t="shared" si="362"/>
        <v>3.64044457847268</v>
      </c>
      <c r="EW231" s="775">
        <f t="shared" si="363"/>
        <v>35.643975926010654</v>
      </c>
      <c r="EX231" s="775">
        <f t="shared" si="364"/>
        <v>5.7781211453964776</v>
      </c>
      <c r="EY231" s="775">
        <f t="shared" si="391"/>
        <v>39.810373650390282</v>
      </c>
      <c r="EZ231" s="775">
        <f t="shared" si="365"/>
        <v>18.095624386541036</v>
      </c>
      <c r="FA231" s="775">
        <f t="shared" si="366"/>
        <v>5.5880708899605107</v>
      </c>
      <c r="FB231" s="775">
        <f t="shared" si="367"/>
        <v>3.9474299703647051</v>
      </c>
      <c r="FC231" s="775"/>
      <c r="FD231" s="775"/>
      <c r="FE231" s="775"/>
      <c r="FF231" s="775"/>
      <c r="FG231" s="775"/>
      <c r="FH231" s="775"/>
      <c r="FI231" s="775"/>
      <c r="FJ231" s="775"/>
      <c r="FK231" s="775" t="b">
        <f t="shared" si="392"/>
        <v>0</v>
      </c>
      <c r="FL231" s="775">
        <f t="shared" si="368"/>
        <v>27.199474385144583</v>
      </c>
      <c r="FM231" s="775">
        <v>91</v>
      </c>
      <c r="FN231" s="775">
        <f t="shared" si="393"/>
        <v>4.5</v>
      </c>
      <c r="FO231" s="673">
        <f t="shared" si="312"/>
        <v>31.699474385144583</v>
      </c>
      <c r="FP231" s="673">
        <f t="shared" si="369"/>
        <v>24.403675819467587</v>
      </c>
      <c r="FQ231" s="775" t="b">
        <f t="shared" si="370"/>
        <v>1</v>
      </c>
      <c r="FR231" s="673"/>
      <c r="FS231" s="775">
        <f t="shared" si="371"/>
        <v>31.699474385144583</v>
      </c>
      <c r="FT231" s="775">
        <f t="shared" si="372"/>
        <v>0.36807364103307155</v>
      </c>
      <c r="FU231" s="775">
        <f t="shared" si="373"/>
        <v>4.3359271446597202E-2</v>
      </c>
      <c r="FV231" s="775">
        <f t="shared" si="374"/>
        <v>1.0444595666173535</v>
      </c>
      <c r="FW231" s="775">
        <f t="shared" si="375"/>
        <v>0.67112231267514966</v>
      </c>
      <c r="FX231" s="775">
        <f t="shared" si="376"/>
        <v>31.330806026627585</v>
      </c>
      <c r="FY231" s="775">
        <f t="shared" si="377"/>
        <v>53.479181664051652</v>
      </c>
      <c r="FZ231" s="775">
        <f t="shared" si="378"/>
        <v>20.55048390222208</v>
      </c>
      <c r="GA231" s="775">
        <f t="shared" si="379"/>
        <v>32.319835658289207</v>
      </c>
      <c r="GB231" s="775">
        <f t="shared" si="380"/>
        <v>516.77539201043248</v>
      </c>
      <c r="GC231" s="775">
        <f t="shared" si="381"/>
        <v>21.043736456496063</v>
      </c>
      <c r="GD231" s="775">
        <f t="shared" si="382"/>
        <v>1.1235442108440772</v>
      </c>
      <c r="GE231" s="775">
        <f t="shared" si="383"/>
        <v>0.51070191402003506</v>
      </c>
      <c r="GF231" s="775">
        <f t="shared" si="384"/>
        <v>31.012092085703497</v>
      </c>
      <c r="GG231" s="775">
        <f t="shared" si="385"/>
        <v>31.699474385144583</v>
      </c>
    </row>
    <row r="232" spans="70:189">
      <c r="BR232" s="775"/>
      <c r="BS232" s="775"/>
      <c r="BT232" s="775"/>
      <c r="BU232" s="775"/>
      <c r="BV232" s="775"/>
      <c r="BW232" s="775"/>
      <c r="BX232" s="775"/>
      <c r="BY232" s="775" t="b">
        <f t="shared" si="386"/>
        <v>0</v>
      </c>
      <c r="BZ232" s="775">
        <f t="shared" si="313"/>
        <v>40.394775375144697</v>
      </c>
      <c r="CA232" s="775">
        <v>92</v>
      </c>
      <c r="CB232" s="775">
        <f t="shared" si="394"/>
        <v>46</v>
      </c>
      <c r="CC232" s="673">
        <f t="shared" si="314"/>
        <v>5.6052246248553059</v>
      </c>
      <c r="CD232" s="91">
        <f t="shared" si="315"/>
        <v>2</v>
      </c>
      <c r="CE232" s="775" t="b">
        <f t="shared" si="316"/>
        <v>0</v>
      </c>
      <c r="CF232" s="673"/>
      <c r="CG232" s="775">
        <f t="shared" si="317"/>
        <v>5.6052246248553059</v>
      </c>
      <c r="CH232" s="775">
        <f t="shared" si="318"/>
        <v>2.8211398937545949E-2</v>
      </c>
      <c r="CI232" s="775">
        <f t="shared" si="319"/>
        <v>1.8868898191688405E-3</v>
      </c>
      <c r="CJ232" s="775">
        <f t="shared" si="320"/>
        <v>5.3310778850863016</v>
      </c>
      <c r="CK232" s="775">
        <f t="shared" si="321"/>
        <v>2.619462586231124</v>
      </c>
      <c r="CL232" s="775">
        <f t="shared" si="322"/>
        <v>4.8800451497835402</v>
      </c>
      <c r="CM232" s="775">
        <f t="shared" si="323"/>
        <v>9.5960689620172364</v>
      </c>
      <c r="CN232" s="775">
        <f t="shared" si="324"/>
        <v>2.5644720111401966</v>
      </c>
      <c r="CO232" s="775">
        <f t="shared" si="325"/>
        <v>3.6454614633468454</v>
      </c>
      <c r="CP232" s="775">
        <f t="shared" si="326"/>
        <v>35.264248671932435</v>
      </c>
      <c r="CQ232" s="775">
        <f t="shared" si="327"/>
        <v>5.7165648790353059</v>
      </c>
      <c r="CR232" s="775">
        <f t="shared" si="387"/>
        <v>40.239053813428107</v>
      </c>
      <c r="CS232" s="775">
        <f t="shared" si="328"/>
        <v>18.290479006103684</v>
      </c>
      <c r="CT232" s="775">
        <f t="shared" si="329"/>
        <v>5.6052246248553059</v>
      </c>
      <c r="CU232" s="775">
        <f t="shared" si="330"/>
        <v>3.9542567088555507</v>
      </c>
      <c r="CV232" s="775"/>
      <c r="CW232" s="775"/>
      <c r="CX232" s="775"/>
      <c r="CY232" s="775"/>
      <c r="CZ232" s="775"/>
      <c r="DA232" s="775"/>
      <c r="DB232" s="775"/>
      <c r="DC232" s="775"/>
      <c r="DD232" s="775" t="b">
        <f t="shared" si="388"/>
        <v>0</v>
      </c>
      <c r="DE232" s="775">
        <f t="shared" si="331"/>
        <v>21.274690856538715</v>
      </c>
      <c r="DF232" s="776">
        <v>93</v>
      </c>
      <c r="DG232" s="775">
        <f t="shared" si="389"/>
        <v>4</v>
      </c>
      <c r="DH232" s="673">
        <f t="shared" si="332"/>
        <v>25.274690856538715</v>
      </c>
      <c r="DI232" s="673">
        <f t="shared" si="333"/>
        <v>19</v>
      </c>
      <c r="DJ232" s="775" t="b">
        <f t="shared" si="334"/>
        <v>1</v>
      </c>
      <c r="DK232" s="673"/>
      <c r="DL232" s="775">
        <f t="shared" si="335"/>
        <v>25.274690856538715</v>
      </c>
      <c r="DM232" s="775">
        <f t="shared" si="336"/>
        <v>0.40716686584452244</v>
      </c>
      <c r="DN232" s="775">
        <f t="shared" si="337"/>
        <v>4.7964474203211462E-2</v>
      </c>
      <c r="DO232" s="775">
        <f t="shared" si="338"/>
        <v>1.0012830311695191</v>
      </c>
      <c r="DP232" s="775">
        <f t="shared" si="339"/>
        <v>0.65304839279974192</v>
      </c>
      <c r="DQ232" s="775">
        <f t="shared" si="340"/>
        <v>23.785401880113834</v>
      </c>
      <c r="DR232" s="775">
        <f t="shared" si="341"/>
        <v>40.59977987856454</v>
      </c>
      <c r="DS232" s="775">
        <f t="shared" si="342"/>
        <v>20.101531766542294</v>
      </c>
      <c r="DT232" s="775">
        <f t="shared" si="343"/>
        <v>31.65867111246159</v>
      </c>
      <c r="DU232" s="775">
        <f t="shared" si="344"/>
        <v>571.66227964570953</v>
      </c>
      <c r="DV232" s="775">
        <f t="shared" si="345"/>
        <v>23.27879876048976</v>
      </c>
      <c r="DW232" s="775">
        <f t="shared" si="346"/>
        <v>2.7880461187465055</v>
      </c>
      <c r="DX232" s="775">
        <f t="shared" si="347"/>
        <v>1.2672936903393206</v>
      </c>
      <c r="DY232" s="775">
        <f t="shared" si="348"/>
        <v>25.274690856538715</v>
      </c>
      <c r="DZ232" s="775">
        <f t="shared" si="349"/>
        <v>31.241488504175976</v>
      </c>
      <c r="EA232" s="775"/>
      <c r="EB232" s="775"/>
      <c r="EC232" s="775"/>
      <c r="ED232" s="775"/>
      <c r="EE232" s="775"/>
      <c r="EF232" s="775" t="b">
        <f t="shared" si="390"/>
        <v>0</v>
      </c>
      <c r="EG232" s="775">
        <f t="shared" si="350"/>
        <v>40.394775375144697</v>
      </c>
      <c r="EH232" s="775">
        <v>92</v>
      </c>
      <c r="EI232" s="775">
        <f t="shared" si="395"/>
        <v>46</v>
      </c>
      <c r="EJ232" s="673">
        <f t="shared" si="351"/>
        <v>5.6052246248553059</v>
      </c>
      <c r="EK232" s="673">
        <f t="shared" si="352"/>
        <v>2.2510196371999172</v>
      </c>
      <c r="EL232" s="775" t="b">
        <f t="shared" si="353"/>
        <v>0</v>
      </c>
      <c r="EM232" s="673"/>
      <c r="EN232" s="775">
        <f t="shared" si="354"/>
        <v>5.6052246248553059</v>
      </c>
      <c r="EO232" s="775">
        <f t="shared" si="355"/>
        <v>2.8211398937545949E-2</v>
      </c>
      <c r="EP232" s="775">
        <f t="shared" si="356"/>
        <v>1.8868898191688405E-3</v>
      </c>
      <c r="EQ232" s="775">
        <f t="shared" si="357"/>
        <v>5.3310778850863016</v>
      </c>
      <c r="ER232" s="775">
        <f t="shared" si="358"/>
        <v>2.619462586231124</v>
      </c>
      <c r="ES232" s="775">
        <f t="shared" si="359"/>
        <v>4.8800451497835402</v>
      </c>
      <c r="ET232" s="775">
        <f t="shared" si="360"/>
        <v>9.5960689620172364</v>
      </c>
      <c r="EU232" s="775">
        <f t="shared" si="361"/>
        <v>2.5644720111401966</v>
      </c>
      <c r="EV232" s="775">
        <f t="shared" si="362"/>
        <v>3.6454614633468454</v>
      </c>
      <c r="EW232" s="775">
        <f t="shared" si="363"/>
        <v>35.264248671932435</v>
      </c>
      <c r="EX232" s="775">
        <f t="shared" si="364"/>
        <v>5.7165648790353059</v>
      </c>
      <c r="EY232" s="775">
        <f t="shared" si="391"/>
        <v>40.239053813428107</v>
      </c>
      <c r="EZ232" s="775">
        <f t="shared" si="365"/>
        <v>18.290479006103684</v>
      </c>
      <c r="FA232" s="775">
        <f t="shared" si="366"/>
        <v>5.6052246248553059</v>
      </c>
      <c r="FB232" s="775">
        <f t="shared" si="367"/>
        <v>3.9542567088555507</v>
      </c>
      <c r="FC232" s="775"/>
      <c r="FD232" s="775"/>
      <c r="FE232" s="775"/>
      <c r="FF232" s="775"/>
      <c r="FG232" s="775"/>
      <c r="FH232" s="775"/>
      <c r="FI232" s="775"/>
      <c r="FJ232" s="775"/>
      <c r="FK232" s="775" t="b">
        <f t="shared" si="392"/>
        <v>0</v>
      </c>
      <c r="FL232" s="775">
        <f t="shared" si="368"/>
        <v>27.241488504175976</v>
      </c>
      <c r="FM232" s="775">
        <v>92</v>
      </c>
      <c r="FN232" s="775">
        <f t="shared" si="393"/>
        <v>4</v>
      </c>
      <c r="FO232" s="673">
        <f t="shared" si="312"/>
        <v>31.241488504175976</v>
      </c>
      <c r="FP232" s="673">
        <f t="shared" si="369"/>
        <v>24.403675819467587</v>
      </c>
      <c r="FQ232" s="775" t="b">
        <f t="shared" si="370"/>
        <v>1</v>
      </c>
      <c r="FR232" s="673"/>
      <c r="FS232" s="775">
        <f t="shared" si="371"/>
        <v>31.241488504175976</v>
      </c>
      <c r="FT232" s="775">
        <f t="shared" si="372"/>
        <v>0.40716686584452244</v>
      </c>
      <c r="FU232" s="775">
        <f t="shared" si="373"/>
        <v>4.7964474203211462E-2</v>
      </c>
      <c r="FV232" s="775">
        <f t="shared" si="374"/>
        <v>1.0012830311695191</v>
      </c>
      <c r="FW232" s="775">
        <f t="shared" si="375"/>
        <v>0.65304839279974192</v>
      </c>
      <c r="FX232" s="775">
        <f t="shared" si="376"/>
        <v>30.550065090423836</v>
      </c>
      <c r="FY232" s="775">
        <f t="shared" si="377"/>
        <v>52.146519289380642</v>
      </c>
      <c r="FZ232" s="775">
        <f t="shared" si="378"/>
        <v>20.101531766542294</v>
      </c>
      <c r="GA232" s="775">
        <f t="shared" si="379"/>
        <v>31.65867111246159</v>
      </c>
      <c r="GB232" s="775">
        <f t="shared" si="380"/>
        <v>571.66227964570953</v>
      </c>
      <c r="GC232" s="775">
        <f t="shared" si="381"/>
        <v>23.27879876048976</v>
      </c>
      <c r="GD232" s="775">
        <f t="shared" si="382"/>
        <v>1.0156696019192346</v>
      </c>
      <c r="GE232" s="775">
        <f t="shared" si="383"/>
        <v>0.46166800087237936</v>
      </c>
      <c r="GF232" s="775">
        <f t="shared" si="384"/>
        <v>30.459621710233584</v>
      </c>
      <c r="GG232" s="775">
        <f t="shared" si="385"/>
        <v>31.241488504175976</v>
      </c>
    </row>
    <row r="233" spans="70:189">
      <c r="BR233" s="775"/>
      <c r="BS233" s="775"/>
      <c r="BT233" s="775"/>
      <c r="BU233" s="775"/>
      <c r="BV233" s="775"/>
      <c r="BW233" s="775"/>
      <c r="BX233" s="775"/>
      <c r="BY233" s="775" t="b">
        <f t="shared" si="386"/>
        <v>0</v>
      </c>
      <c r="BZ233" s="775">
        <f t="shared" si="313"/>
        <v>40.877767996501625</v>
      </c>
      <c r="CA233" s="775">
        <v>93</v>
      </c>
      <c r="CB233" s="775">
        <f t="shared" si="394"/>
        <v>46.5</v>
      </c>
      <c r="CC233" s="673">
        <f t="shared" si="314"/>
        <v>5.6222320034983753</v>
      </c>
      <c r="CD233" s="91">
        <f t="shared" si="315"/>
        <v>2</v>
      </c>
      <c r="CE233" s="775" t="b">
        <f t="shared" si="316"/>
        <v>0</v>
      </c>
      <c r="CF233" s="673"/>
      <c r="CG233" s="775">
        <f t="shared" si="317"/>
        <v>5.6222320034983753</v>
      </c>
      <c r="CH233" s="775">
        <f t="shared" si="318"/>
        <v>2.791408544614131E-2</v>
      </c>
      <c r="CI233" s="775">
        <f t="shared" si="319"/>
        <v>1.8670043182309082E-3</v>
      </c>
      <c r="CJ233" s="775">
        <f t="shared" si="320"/>
        <v>5.333792031540459</v>
      </c>
      <c r="CK233" s="775">
        <f t="shared" si="321"/>
        <v>2.6201044771617035</v>
      </c>
      <c r="CL233" s="775">
        <f t="shared" si="322"/>
        <v>4.8929879337086879</v>
      </c>
      <c r="CM233" s="775">
        <f t="shared" si="323"/>
        <v>9.6215195148900339</v>
      </c>
      <c r="CN233" s="775">
        <f t="shared" si="324"/>
        <v>2.5680563556340421</v>
      </c>
      <c r="CO233" s="775">
        <f t="shared" si="325"/>
        <v>3.6504305549082772</v>
      </c>
      <c r="CP233" s="775">
        <f t="shared" si="326"/>
        <v>34.892606807676636</v>
      </c>
      <c r="CQ233" s="775">
        <f t="shared" si="327"/>
        <v>5.6563193071375881</v>
      </c>
      <c r="CR233" s="775">
        <f t="shared" si="387"/>
        <v>40.667640793401809</v>
      </c>
      <c r="CS233" s="775">
        <f t="shared" si="328"/>
        <v>18.485291269728094</v>
      </c>
      <c r="CT233" s="775">
        <f t="shared" si="329"/>
        <v>5.6222320034983753</v>
      </c>
      <c r="CU233" s="775">
        <f t="shared" si="330"/>
        <v>3.9610174559751963</v>
      </c>
      <c r="CV233" s="775"/>
      <c r="CW233" s="775"/>
      <c r="CX233" s="775"/>
      <c r="CY233" s="775"/>
      <c r="CZ233" s="775"/>
      <c r="DA233" s="775"/>
      <c r="DB233" s="775"/>
      <c r="DC233" s="775"/>
      <c r="DD233" s="775" t="b">
        <f t="shared" si="388"/>
        <v>0</v>
      </c>
      <c r="DE233" s="775">
        <f t="shared" si="331"/>
        <v>21.218059494403359</v>
      </c>
      <c r="DF233" s="776">
        <v>94</v>
      </c>
      <c r="DG233" s="775">
        <f t="shared" si="389"/>
        <v>3.5</v>
      </c>
      <c r="DH233" s="673">
        <f t="shared" si="332"/>
        <v>24.718059494403359</v>
      </c>
      <c r="DI233" s="673">
        <f t="shared" si="333"/>
        <v>19</v>
      </c>
      <c r="DJ233" s="775" t="b">
        <f t="shared" si="334"/>
        <v>1</v>
      </c>
      <c r="DK233" s="673"/>
      <c r="DL233" s="775">
        <f t="shared" si="335"/>
        <v>24.718059494403359</v>
      </c>
      <c r="DM233" s="775">
        <f t="shared" si="336"/>
        <v>0.45653231890350376</v>
      </c>
      <c r="DN233" s="775">
        <f t="shared" si="337"/>
        <v>5.3779750932240536E-2</v>
      </c>
      <c r="DO233" s="775">
        <f t="shared" si="338"/>
        <v>0.95289374975615238</v>
      </c>
      <c r="DP233" s="775">
        <f t="shared" si="339"/>
        <v>0.63218335061524844</v>
      </c>
      <c r="DQ233" s="775">
        <f t="shared" si="340"/>
        <v>23.114564697785465</v>
      </c>
      <c r="DR233" s="775">
        <f t="shared" si="341"/>
        <v>39.454714427319871</v>
      </c>
      <c r="DS233" s="775">
        <f t="shared" si="342"/>
        <v>19.602999479364485</v>
      </c>
      <c r="DT233" s="775">
        <f t="shared" si="343"/>
        <v>30.922709078218578</v>
      </c>
      <c r="DU233" s="775">
        <f t="shared" si="344"/>
        <v>640.97137574051931</v>
      </c>
      <c r="DV233" s="775">
        <f t="shared" si="345"/>
        <v>26.101151323724221</v>
      </c>
      <c r="DW233" s="775">
        <f t="shared" si="346"/>
        <v>2.4865709457909042</v>
      </c>
      <c r="DX233" s="775">
        <f t="shared" si="347"/>
        <v>1.1302595208140473</v>
      </c>
      <c r="DY233" s="775">
        <f t="shared" si="348"/>
        <v>24.718059494403359</v>
      </c>
      <c r="DZ233" s="775">
        <f t="shared" si="349"/>
        <v>30.724412822239781</v>
      </c>
      <c r="EA233" s="775"/>
      <c r="EB233" s="775"/>
      <c r="EC233" s="775"/>
      <c r="ED233" s="775"/>
      <c r="EE233" s="775"/>
      <c r="EF233" s="775" t="b">
        <f t="shared" si="390"/>
        <v>0</v>
      </c>
      <c r="EG233" s="775">
        <f t="shared" si="350"/>
        <v>40.877767996501625</v>
      </c>
      <c r="EH233" s="775">
        <v>93</v>
      </c>
      <c r="EI233" s="775">
        <f t="shared" si="395"/>
        <v>46.5</v>
      </c>
      <c r="EJ233" s="673">
        <f t="shared" si="351"/>
        <v>5.6222320034983753</v>
      </c>
      <c r="EK233" s="673">
        <f t="shared" si="352"/>
        <v>2.2510196371999172</v>
      </c>
      <c r="EL233" s="775" t="b">
        <f t="shared" si="353"/>
        <v>0</v>
      </c>
      <c r="EM233" s="673"/>
      <c r="EN233" s="775">
        <f t="shared" si="354"/>
        <v>5.6222320034983753</v>
      </c>
      <c r="EO233" s="775">
        <f t="shared" si="355"/>
        <v>2.791408544614131E-2</v>
      </c>
      <c r="EP233" s="775">
        <f t="shared" si="356"/>
        <v>1.8670043182309082E-3</v>
      </c>
      <c r="EQ233" s="775">
        <f t="shared" si="357"/>
        <v>5.333792031540459</v>
      </c>
      <c r="ER233" s="775">
        <f t="shared" si="358"/>
        <v>2.6201044771617035</v>
      </c>
      <c r="ES233" s="775">
        <f t="shared" si="359"/>
        <v>4.8929879337086879</v>
      </c>
      <c r="ET233" s="775">
        <f t="shared" si="360"/>
        <v>9.6215195148900339</v>
      </c>
      <c r="EU233" s="775">
        <f t="shared" si="361"/>
        <v>2.5680563556340421</v>
      </c>
      <c r="EV233" s="775">
        <f t="shared" si="362"/>
        <v>3.6504305549082772</v>
      </c>
      <c r="EW233" s="775">
        <f t="shared" si="363"/>
        <v>34.892606807676636</v>
      </c>
      <c r="EX233" s="775">
        <f t="shared" si="364"/>
        <v>5.6563193071375881</v>
      </c>
      <c r="EY233" s="775">
        <f t="shared" si="391"/>
        <v>40.667640793401809</v>
      </c>
      <c r="EZ233" s="775">
        <f t="shared" si="365"/>
        <v>18.485291269728094</v>
      </c>
      <c r="FA233" s="775">
        <f t="shared" si="366"/>
        <v>5.6222320034983753</v>
      </c>
      <c r="FB233" s="775">
        <f t="shared" si="367"/>
        <v>3.9610174559751963</v>
      </c>
      <c r="FC233" s="775"/>
      <c r="FD233" s="775"/>
      <c r="FE233" s="775"/>
      <c r="FF233" s="775"/>
      <c r="FG233" s="775"/>
      <c r="FH233" s="775"/>
      <c r="FI233" s="775"/>
      <c r="FJ233" s="775"/>
      <c r="FK233" s="775" t="b">
        <f t="shared" si="392"/>
        <v>0</v>
      </c>
      <c r="FL233" s="775">
        <f t="shared" si="368"/>
        <v>27.224412822239781</v>
      </c>
      <c r="FM233" s="775">
        <v>93</v>
      </c>
      <c r="FN233" s="775">
        <f t="shared" si="393"/>
        <v>3.5</v>
      </c>
      <c r="FO233" s="673">
        <f t="shared" si="312"/>
        <v>30.724412822239781</v>
      </c>
      <c r="FP233" s="673">
        <f t="shared" si="369"/>
        <v>24.403675819467587</v>
      </c>
      <c r="FQ233" s="775" t="b">
        <f t="shared" si="370"/>
        <v>1</v>
      </c>
      <c r="FR233" s="673"/>
      <c r="FS233" s="775">
        <f t="shared" si="371"/>
        <v>30.724412822239781</v>
      </c>
      <c r="FT233" s="775">
        <f t="shared" si="372"/>
        <v>0.45653231890350376</v>
      </c>
      <c r="FU233" s="775">
        <f t="shared" si="373"/>
        <v>5.3779750932240536E-2</v>
      </c>
      <c r="FV233" s="775">
        <f t="shared" si="374"/>
        <v>0.95289374975615238</v>
      </c>
      <c r="FW233" s="775">
        <f t="shared" si="375"/>
        <v>0.63218335061524844</v>
      </c>
      <c r="FX233" s="775">
        <f t="shared" si="376"/>
        <v>29.688439136466645</v>
      </c>
      <c r="FY233" s="775">
        <f t="shared" si="377"/>
        <v>50.675792654420263</v>
      </c>
      <c r="FZ233" s="775">
        <f t="shared" si="378"/>
        <v>19.602999479364485</v>
      </c>
      <c r="GA233" s="775">
        <f t="shared" si="379"/>
        <v>30.922709078218578</v>
      </c>
      <c r="GB233" s="775">
        <f t="shared" si="380"/>
        <v>640.97137574051931</v>
      </c>
      <c r="GC233" s="775">
        <f t="shared" si="381"/>
        <v>26.101151323724221</v>
      </c>
      <c r="GD233" s="775">
        <f t="shared" si="382"/>
        <v>0.90584388316748954</v>
      </c>
      <c r="GE233" s="775">
        <f t="shared" si="383"/>
        <v>0.41174721962158611</v>
      </c>
      <c r="GF233" s="775">
        <f t="shared" si="384"/>
        <v>29.83955246387961</v>
      </c>
      <c r="GG233" s="775">
        <f t="shared" si="385"/>
        <v>30.724412822239781</v>
      </c>
    </row>
    <row r="234" spans="70:189">
      <c r="BR234" s="775"/>
      <c r="BS234" s="775"/>
      <c r="BT234" s="775"/>
      <c r="BU234" s="775"/>
      <c r="BV234" s="775"/>
      <c r="BW234" s="775"/>
      <c r="BX234" s="775"/>
      <c r="BY234" s="775" t="b">
        <f t="shared" si="386"/>
        <v>0</v>
      </c>
      <c r="BZ234" s="775">
        <f t="shared" si="313"/>
        <v>41.360904186539905</v>
      </c>
      <c r="CA234" s="775">
        <v>94</v>
      </c>
      <c r="CB234" s="775">
        <f t="shared" si="394"/>
        <v>47</v>
      </c>
      <c r="CC234" s="673">
        <f t="shared" si="314"/>
        <v>5.6390958134600959</v>
      </c>
      <c r="CD234" s="91">
        <f t="shared" si="315"/>
        <v>2</v>
      </c>
      <c r="CE234" s="775" t="b">
        <f t="shared" si="316"/>
        <v>0</v>
      </c>
      <c r="CF234" s="673"/>
      <c r="CG234" s="775">
        <f t="shared" si="317"/>
        <v>5.6390958134600959</v>
      </c>
      <c r="CH234" s="775">
        <f t="shared" si="318"/>
        <v>2.7623035185372718E-2</v>
      </c>
      <c r="CI234" s="775">
        <f t="shared" si="319"/>
        <v>1.8475377269028261E-3</v>
      </c>
      <c r="CJ234" s="775">
        <f t="shared" si="320"/>
        <v>5.3364524843478645</v>
      </c>
      <c r="CK234" s="775">
        <f t="shared" si="321"/>
        <v>2.620733303258632</v>
      </c>
      <c r="CL234" s="775">
        <f t="shared" si="322"/>
        <v>4.9058260670835239</v>
      </c>
      <c r="CM234" s="775">
        <f t="shared" si="323"/>
        <v>9.6467642840319705</v>
      </c>
      <c r="CN234" s="775">
        <f t="shared" si="324"/>
        <v>2.5716068357870152</v>
      </c>
      <c r="CO234" s="775">
        <f t="shared" si="325"/>
        <v>3.655352815464652</v>
      </c>
      <c r="CP234" s="775">
        <f t="shared" si="326"/>
        <v>34.5287939817159</v>
      </c>
      <c r="CQ234" s="775">
        <f t="shared" si="327"/>
        <v>5.5973428734475359</v>
      </c>
      <c r="CR234" s="775">
        <f t="shared" si="387"/>
        <v>41.096135612248894</v>
      </c>
      <c r="CS234" s="775">
        <f t="shared" si="328"/>
        <v>18.680061641931314</v>
      </c>
      <c r="CT234" s="775">
        <f t="shared" si="329"/>
        <v>5.6390958134600959</v>
      </c>
      <c r="CU234" s="775">
        <f t="shared" si="330"/>
        <v>3.9677135483915569</v>
      </c>
      <c r="CV234" s="775"/>
      <c r="CW234" s="775"/>
      <c r="CX234" s="775"/>
      <c r="CY234" s="775"/>
      <c r="CZ234" s="775"/>
      <c r="DA234" s="775"/>
      <c r="DB234" s="775"/>
      <c r="DC234" s="775"/>
      <c r="DD234" s="775" t="b">
        <f t="shared" si="388"/>
        <v>0</v>
      </c>
      <c r="DE234" s="775">
        <f t="shared" si="331"/>
        <v>21.085050045662399</v>
      </c>
      <c r="DF234" s="776">
        <v>95</v>
      </c>
      <c r="DG234" s="775">
        <f t="shared" si="389"/>
        <v>3</v>
      </c>
      <c r="DH234" s="673">
        <f t="shared" si="332"/>
        <v>24.085050045662399</v>
      </c>
      <c r="DI234" s="673">
        <f t="shared" si="333"/>
        <v>19</v>
      </c>
      <c r="DJ234" s="775" t="b">
        <f t="shared" si="334"/>
        <v>1</v>
      </c>
      <c r="DK234" s="673"/>
      <c r="DL234" s="775">
        <f t="shared" si="335"/>
        <v>24.085050045662399</v>
      </c>
      <c r="DM234" s="775">
        <f t="shared" si="336"/>
        <v>0.52100864114192524</v>
      </c>
      <c r="DN234" s="775">
        <f t="shared" si="337"/>
        <v>6.1375096119055478E-2</v>
      </c>
      <c r="DO234" s="775">
        <f t="shared" si="338"/>
        <v>0.89803409385629374</v>
      </c>
      <c r="DP234" s="775">
        <f t="shared" si="339"/>
        <v>0.60772051000579774</v>
      </c>
      <c r="DQ234" s="775">
        <f t="shared" si="340"/>
        <v>22.363633656579996</v>
      </c>
      <c r="DR234" s="775">
        <f t="shared" si="341"/>
        <v>38.172935160751628</v>
      </c>
      <c r="DS234" s="775">
        <f t="shared" si="342"/>
        <v>19.04106665269898</v>
      </c>
      <c r="DT234" s="775">
        <f t="shared" si="343"/>
        <v>30.090859798362985</v>
      </c>
      <c r="DU234" s="775">
        <f t="shared" si="344"/>
        <v>731.49613216326304</v>
      </c>
      <c r="DV234" s="775">
        <f t="shared" si="345"/>
        <v>29.787431952408376</v>
      </c>
      <c r="DW234" s="775">
        <f t="shared" si="346"/>
        <v>2.1788506185078149</v>
      </c>
      <c r="DX234" s="775">
        <f t="shared" si="347"/>
        <v>0.99038664477627947</v>
      </c>
      <c r="DY234" s="775">
        <f t="shared" si="348"/>
        <v>24.085050045662399</v>
      </c>
      <c r="DZ234" s="775">
        <f t="shared" si="349"/>
        <v>30.130525081782821</v>
      </c>
      <c r="EA234" s="775"/>
      <c r="EB234" s="775"/>
      <c r="EC234" s="775"/>
      <c r="ED234" s="775"/>
      <c r="EE234" s="775"/>
      <c r="EF234" s="775" t="b">
        <f t="shared" si="390"/>
        <v>0</v>
      </c>
      <c r="EG234" s="775">
        <f t="shared" si="350"/>
        <v>41.360904186539905</v>
      </c>
      <c r="EH234" s="775">
        <v>94</v>
      </c>
      <c r="EI234" s="775">
        <f t="shared" si="395"/>
        <v>47</v>
      </c>
      <c r="EJ234" s="673">
        <f t="shared" si="351"/>
        <v>5.6390958134600959</v>
      </c>
      <c r="EK234" s="673">
        <f t="shared" si="352"/>
        <v>2.2510196371999172</v>
      </c>
      <c r="EL234" s="775" t="b">
        <f t="shared" si="353"/>
        <v>0</v>
      </c>
      <c r="EM234" s="673"/>
      <c r="EN234" s="775">
        <f t="shared" si="354"/>
        <v>5.6390958134600959</v>
      </c>
      <c r="EO234" s="775">
        <f t="shared" si="355"/>
        <v>2.7623035185372718E-2</v>
      </c>
      <c r="EP234" s="775">
        <f t="shared" si="356"/>
        <v>1.8475377269028261E-3</v>
      </c>
      <c r="EQ234" s="775">
        <f t="shared" si="357"/>
        <v>5.3364524843478645</v>
      </c>
      <c r="ER234" s="775">
        <f t="shared" si="358"/>
        <v>2.620733303258632</v>
      </c>
      <c r="ES234" s="775">
        <f t="shared" si="359"/>
        <v>4.9058260670835239</v>
      </c>
      <c r="ET234" s="775">
        <f t="shared" si="360"/>
        <v>9.6467642840319705</v>
      </c>
      <c r="EU234" s="775">
        <f t="shared" si="361"/>
        <v>2.5716068357870152</v>
      </c>
      <c r="EV234" s="775">
        <f t="shared" si="362"/>
        <v>3.655352815464652</v>
      </c>
      <c r="EW234" s="775">
        <f t="shared" si="363"/>
        <v>34.5287939817159</v>
      </c>
      <c r="EX234" s="775">
        <f t="shared" si="364"/>
        <v>5.5973428734475359</v>
      </c>
      <c r="EY234" s="775">
        <f t="shared" si="391"/>
        <v>41.096135612248894</v>
      </c>
      <c r="EZ234" s="775">
        <f t="shared" si="365"/>
        <v>18.680061641931314</v>
      </c>
      <c r="FA234" s="775">
        <f t="shared" si="366"/>
        <v>5.6390958134600959</v>
      </c>
      <c r="FB234" s="775">
        <f t="shared" si="367"/>
        <v>3.9677135483915569</v>
      </c>
      <c r="FC234" s="775"/>
      <c r="FD234" s="775"/>
      <c r="FE234" s="775"/>
      <c r="FF234" s="775"/>
      <c r="FG234" s="775"/>
      <c r="FH234" s="775"/>
      <c r="FI234" s="775"/>
      <c r="FJ234" s="775"/>
      <c r="FK234" s="775" t="b">
        <f t="shared" si="392"/>
        <v>0</v>
      </c>
      <c r="FL234" s="775">
        <f t="shared" si="368"/>
        <v>27.130525081782821</v>
      </c>
      <c r="FM234" s="775">
        <v>94</v>
      </c>
      <c r="FN234" s="775">
        <f t="shared" si="393"/>
        <v>3</v>
      </c>
      <c r="FO234" s="673">
        <f t="shared" si="312"/>
        <v>30.130525081782821</v>
      </c>
      <c r="FP234" s="673">
        <f t="shared" si="369"/>
        <v>24.403675819467587</v>
      </c>
      <c r="FQ234" s="775" t="b">
        <f t="shared" si="370"/>
        <v>1</v>
      </c>
      <c r="FR234" s="673"/>
      <c r="FS234" s="775">
        <f t="shared" si="371"/>
        <v>30.130525081782821</v>
      </c>
      <c r="FT234" s="775">
        <f t="shared" si="372"/>
        <v>0.52100864114192524</v>
      </c>
      <c r="FU234" s="775">
        <f t="shared" si="373"/>
        <v>6.1375096119055478E-2</v>
      </c>
      <c r="FV234" s="775">
        <f t="shared" si="374"/>
        <v>0.89803409385629374</v>
      </c>
      <c r="FW234" s="775">
        <f t="shared" si="375"/>
        <v>0.60772051000579774</v>
      </c>
      <c r="FX234" s="775">
        <f t="shared" si="376"/>
        <v>28.723940310553299</v>
      </c>
      <c r="FY234" s="775">
        <f t="shared" si="377"/>
        <v>49.029470249502033</v>
      </c>
      <c r="FZ234" s="775">
        <f t="shared" si="378"/>
        <v>19.04106665269898</v>
      </c>
      <c r="GA234" s="775">
        <f t="shared" si="379"/>
        <v>30.090859798362985</v>
      </c>
      <c r="GB234" s="775">
        <f t="shared" si="380"/>
        <v>731.49613216326304</v>
      </c>
      <c r="GC234" s="775">
        <f t="shared" si="381"/>
        <v>29.787431952408376</v>
      </c>
      <c r="GD234" s="775">
        <f t="shared" si="382"/>
        <v>0.79374308963592866</v>
      </c>
      <c r="GE234" s="775">
        <f t="shared" si="383"/>
        <v>0.36079231347087665</v>
      </c>
      <c r="GF234" s="775">
        <f t="shared" si="384"/>
        <v>29.132201391006173</v>
      </c>
      <c r="GG234" s="775">
        <f t="shared" si="385"/>
        <v>30.130525081782821</v>
      </c>
    </row>
    <row r="235" spans="70:189">
      <c r="BR235" s="775"/>
      <c r="BS235" s="775"/>
      <c r="BT235" s="775"/>
      <c r="BU235" s="775"/>
      <c r="BV235" s="775"/>
      <c r="BW235" s="775"/>
      <c r="BX235" s="775"/>
      <c r="BY235" s="775" t="b">
        <f t="shared" si="386"/>
        <v>0</v>
      </c>
      <c r="BZ235" s="775">
        <f t="shared" si="313"/>
        <v>41.84418123966276</v>
      </c>
      <c r="CA235" s="775">
        <v>95</v>
      </c>
      <c r="CB235" s="775">
        <f t="shared" si="394"/>
        <v>47.5</v>
      </c>
      <c r="CC235" s="673">
        <f t="shared" si="314"/>
        <v>5.6558187603372367</v>
      </c>
      <c r="CD235" s="91">
        <f t="shared" si="315"/>
        <v>2</v>
      </c>
      <c r="CE235" s="775" t="b">
        <f t="shared" si="316"/>
        <v>0</v>
      </c>
      <c r="CF235" s="673"/>
      <c r="CG235" s="775">
        <f t="shared" si="317"/>
        <v>5.6558187603372367</v>
      </c>
      <c r="CH235" s="775">
        <f t="shared" si="318"/>
        <v>2.7338051666754681E-2</v>
      </c>
      <c r="CI235" s="775">
        <f t="shared" si="319"/>
        <v>1.828476903258394E-3</v>
      </c>
      <c r="CJ235" s="775">
        <f t="shared" si="320"/>
        <v>5.339060827576712</v>
      </c>
      <c r="CK235" s="775">
        <f t="shared" si="321"/>
        <v>2.6213494608136707</v>
      </c>
      <c r="CL235" s="775">
        <f t="shared" si="322"/>
        <v>4.918561496003945</v>
      </c>
      <c r="CM235" s="775">
        <f t="shared" si="323"/>
        <v>9.6718070962253453</v>
      </c>
      <c r="CN235" s="775">
        <f t="shared" si="324"/>
        <v>2.5751241271154957</v>
      </c>
      <c r="CO235" s="775">
        <f t="shared" si="325"/>
        <v>3.6602291779587173</v>
      </c>
      <c r="CP235" s="775">
        <f t="shared" si="326"/>
        <v>34.172564583443354</v>
      </c>
      <c r="CQ235" s="775">
        <f t="shared" si="327"/>
        <v>5.5395957628826782</v>
      </c>
      <c r="CR235" s="775">
        <f t="shared" si="387"/>
        <v>41.524539269947191</v>
      </c>
      <c r="CS235" s="775">
        <f t="shared" si="328"/>
        <v>18.874790577248721</v>
      </c>
      <c r="CT235" s="775">
        <f t="shared" si="329"/>
        <v>5.6558187603372367</v>
      </c>
      <c r="CU235" s="775">
        <f t="shared" si="330"/>
        <v>3.9743462818349871</v>
      </c>
      <c r="CV235" s="775"/>
      <c r="CW235" s="775"/>
      <c r="CX235" s="775"/>
      <c r="CY235" s="775"/>
      <c r="CZ235" s="775"/>
      <c r="DA235" s="775"/>
      <c r="DB235" s="775"/>
      <c r="DC235" s="775"/>
      <c r="DD235" s="775" t="b">
        <f t="shared" si="388"/>
        <v>0</v>
      </c>
      <c r="DE235" s="775">
        <f t="shared" si="331"/>
        <v>20.849724607127495</v>
      </c>
      <c r="DF235" s="776">
        <v>96</v>
      </c>
      <c r="DG235" s="775">
        <f t="shared" si="389"/>
        <v>2.5</v>
      </c>
      <c r="DH235" s="673">
        <f t="shared" si="332"/>
        <v>23.349724607127495</v>
      </c>
      <c r="DI235" s="673">
        <f t="shared" si="333"/>
        <v>19</v>
      </c>
      <c r="DJ235" s="775" t="b">
        <f t="shared" si="334"/>
        <v>1</v>
      </c>
      <c r="DK235" s="673"/>
      <c r="DL235" s="775">
        <f t="shared" si="335"/>
        <v>23.349724607127495</v>
      </c>
      <c r="DM235" s="775">
        <f t="shared" si="336"/>
        <v>0.60912055359234563</v>
      </c>
      <c r="DN235" s="775">
        <f t="shared" si="337"/>
        <v>7.1754726453066034E-2</v>
      </c>
      <c r="DO235" s="775">
        <f t="shared" si="338"/>
        <v>0.83490797090469782</v>
      </c>
      <c r="DP235" s="775">
        <f t="shared" si="339"/>
        <v>0.57846268164247538</v>
      </c>
      <c r="DQ235" s="775">
        <f t="shared" si="340"/>
        <v>21.506898594837281</v>
      </c>
      <c r="DR235" s="775">
        <f t="shared" si="341"/>
        <v>36.710556887879825</v>
      </c>
      <c r="DS235" s="775">
        <f t="shared" si="342"/>
        <v>18.394866679497529</v>
      </c>
      <c r="DT235" s="775">
        <f t="shared" si="343"/>
        <v>29.13119766714043</v>
      </c>
      <c r="DU235" s="775">
        <f t="shared" si="344"/>
        <v>855.20525724365325</v>
      </c>
      <c r="DV235" s="775">
        <f t="shared" si="345"/>
        <v>34.825021330121785</v>
      </c>
      <c r="DW235" s="775">
        <f t="shared" si="346"/>
        <v>1.8636704890436737</v>
      </c>
      <c r="DX235" s="775">
        <f t="shared" si="347"/>
        <v>0.8471229495653062</v>
      </c>
      <c r="DY235" s="775">
        <f t="shared" si="348"/>
        <v>23.349724607127495</v>
      </c>
      <c r="DZ235" s="775">
        <f t="shared" si="349"/>
        <v>29.432611089155984</v>
      </c>
      <c r="EA235" s="775"/>
      <c r="EB235" s="775"/>
      <c r="EC235" s="775"/>
      <c r="ED235" s="775"/>
      <c r="EE235" s="775"/>
      <c r="EF235" s="775" t="b">
        <f t="shared" si="390"/>
        <v>0</v>
      </c>
      <c r="EG235" s="775">
        <f t="shared" si="350"/>
        <v>41.84418123966276</v>
      </c>
      <c r="EH235" s="775">
        <v>95</v>
      </c>
      <c r="EI235" s="775">
        <f t="shared" si="395"/>
        <v>47.5</v>
      </c>
      <c r="EJ235" s="673">
        <f t="shared" si="351"/>
        <v>5.6558187603372367</v>
      </c>
      <c r="EK235" s="673">
        <f t="shared" si="352"/>
        <v>2.2510196371999172</v>
      </c>
      <c r="EL235" s="775" t="b">
        <f t="shared" si="353"/>
        <v>0</v>
      </c>
      <c r="EM235" s="673"/>
      <c r="EN235" s="775">
        <f t="shared" si="354"/>
        <v>5.6558187603372367</v>
      </c>
      <c r="EO235" s="775">
        <f t="shared" si="355"/>
        <v>2.7338051666754681E-2</v>
      </c>
      <c r="EP235" s="775">
        <f t="shared" si="356"/>
        <v>1.828476903258394E-3</v>
      </c>
      <c r="EQ235" s="775">
        <f t="shared" si="357"/>
        <v>5.339060827576712</v>
      </c>
      <c r="ER235" s="775">
        <f t="shared" si="358"/>
        <v>2.6213494608136707</v>
      </c>
      <c r="ES235" s="775">
        <f t="shared" si="359"/>
        <v>4.918561496003945</v>
      </c>
      <c r="ET235" s="775">
        <f t="shared" si="360"/>
        <v>9.6718070962253453</v>
      </c>
      <c r="EU235" s="775">
        <f t="shared" si="361"/>
        <v>2.5751241271154957</v>
      </c>
      <c r="EV235" s="775">
        <f t="shared" si="362"/>
        <v>3.6602291779587173</v>
      </c>
      <c r="EW235" s="775">
        <f t="shared" si="363"/>
        <v>34.172564583443354</v>
      </c>
      <c r="EX235" s="775">
        <f t="shared" si="364"/>
        <v>5.5395957628826782</v>
      </c>
      <c r="EY235" s="775">
        <f t="shared" si="391"/>
        <v>41.524539269947191</v>
      </c>
      <c r="EZ235" s="775">
        <f t="shared" si="365"/>
        <v>18.874790577248721</v>
      </c>
      <c r="FA235" s="775">
        <f t="shared" si="366"/>
        <v>5.6558187603372367</v>
      </c>
      <c r="FB235" s="775">
        <f t="shared" si="367"/>
        <v>3.9743462818349871</v>
      </c>
      <c r="FC235" s="775"/>
      <c r="FD235" s="775"/>
      <c r="FE235" s="775"/>
      <c r="FF235" s="775"/>
      <c r="FG235" s="775"/>
      <c r="FH235" s="775"/>
      <c r="FI235" s="775"/>
      <c r="FJ235" s="775"/>
      <c r="FK235" s="775" t="b">
        <f t="shared" si="392"/>
        <v>0</v>
      </c>
      <c r="FL235" s="775">
        <f t="shared" si="368"/>
        <v>26.932611089155984</v>
      </c>
      <c r="FM235" s="775">
        <v>95</v>
      </c>
      <c r="FN235" s="775">
        <f t="shared" si="393"/>
        <v>2.5</v>
      </c>
      <c r="FO235" s="673">
        <f t="shared" si="312"/>
        <v>29.432611089155984</v>
      </c>
      <c r="FP235" s="673">
        <f t="shared" si="369"/>
        <v>24.403675819467587</v>
      </c>
      <c r="FQ235" s="775" t="b">
        <f t="shared" si="370"/>
        <v>1</v>
      </c>
      <c r="FR235" s="673"/>
      <c r="FS235" s="775">
        <f t="shared" si="371"/>
        <v>29.432611089155984</v>
      </c>
      <c r="FT235" s="775">
        <f t="shared" si="372"/>
        <v>0.60912055359234563</v>
      </c>
      <c r="FU235" s="775">
        <f t="shared" si="373"/>
        <v>7.1754726453066034E-2</v>
      </c>
      <c r="FV235" s="775">
        <f t="shared" si="374"/>
        <v>0.83490797090469782</v>
      </c>
      <c r="FW235" s="775">
        <f t="shared" si="375"/>
        <v>0.57846268164247538</v>
      </c>
      <c r="FX235" s="775">
        <f t="shared" si="376"/>
        <v>27.623546378451156</v>
      </c>
      <c r="FY235" s="775">
        <f t="shared" si="377"/>
        <v>47.151185760207483</v>
      </c>
      <c r="FZ235" s="775">
        <f t="shared" si="378"/>
        <v>18.394866679497529</v>
      </c>
      <c r="GA235" s="775">
        <f t="shared" si="379"/>
        <v>29.13119766714043</v>
      </c>
      <c r="GB235" s="775">
        <f t="shared" si="380"/>
        <v>855.20525724365325</v>
      </c>
      <c r="GC235" s="775">
        <f t="shared" si="381"/>
        <v>34.825021330121785</v>
      </c>
      <c r="GD235" s="775">
        <f t="shared" si="382"/>
        <v>0.67892473190746272</v>
      </c>
      <c r="GE235" s="775">
        <f t="shared" si="383"/>
        <v>0.30860215086702847</v>
      </c>
      <c r="GF235" s="775">
        <f t="shared" si="384"/>
        <v>28.307565029607023</v>
      </c>
      <c r="GG235" s="775">
        <f t="shared" si="385"/>
        <v>29.432611089155984</v>
      </c>
    </row>
    <row r="236" spans="70:189">
      <c r="BR236" s="775"/>
      <c r="BS236" s="775"/>
      <c r="BT236" s="775"/>
      <c r="BU236" s="775"/>
      <c r="BV236" s="775"/>
      <c r="BW236" s="775"/>
      <c r="BX236" s="775"/>
      <c r="BY236" s="775" t="b">
        <f t="shared" si="386"/>
        <v>0</v>
      </c>
      <c r="BZ236" s="775">
        <f t="shared" si="313"/>
        <v>42.327596529003756</v>
      </c>
      <c r="CA236" s="775">
        <v>96</v>
      </c>
      <c r="CB236" s="775">
        <f t="shared" si="394"/>
        <v>48</v>
      </c>
      <c r="CC236" s="673">
        <f t="shared" si="314"/>
        <v>5.6724034709962403</v>
      </c>
      <c r="CD236" s="91">
        <f t="shared" si="315"/>
        <v>2</v>
      </c>
      <c r="CE236" s="775" t="b">
        <f t="shared" si="316"/>
        <v>0</v>
      </c>
      <c r="CF236" s="673"/>
      <c r="CG236" s="775">
        <f t="shared" si="317"/>
        <v>5.6724034709962403</v>
      </c>
      <c r="CH236" s="775">
        <f t="shared" si="318"/>
        <v>2.7058946548742975E-2</v>
      </c>
      <c r="CI236" s="775">
        <f t="shared" si="319"/>
        <v>1.8098092502710297E-3</v>
      </c>
      <c r="CJ236" s="775">
        <f t="shared" si="320"/>
        <v>5.3416185834518677</v>
      </c>
      <c r="CK236" s="775">
        <f t="shared" si="321"/>
        <v>2.6219533302211691</v>
      </c>
      <c r="CL236" s="775">
        <f t="shared" si="322"/>
        <v>4.9311961103499984</v>
      </c>
      <c r="CM236" s="775">
        <f t="shared" si="323"/>
        <v>9.6966516677102241</v>
      </c>
      <c r="CN236" s="775">
        <f t="shared" si="324"/>
        <v>2.5786088847201833</v>
      </c>
      <c r="CO236" s="775">
        <f t="shared" si="325"/>
        <v>3.6650605471627702</v>
      </c>
      <c r="CP236" s="775">
        <f t="shared" si="326"/>
        <v>33.823683185928722</v>
      </c>
      <c r="CQ236" s="775">
        <f t="shared" si="327"/>
        <v>5.4830398112009888</v>
      </c>
      <c r="CR236" s="775">
        <f t="shared" si="387"/>
        <v>41.952852745212866</v>
      </c>
      <c r="CS236" s="775">
        <f t="shared" si="328"/>
        <v>19.0694785205513</v>
      </c>
      <c r="CT236" s="775">
        <f t="shared" si="329"/>
        <v>5.6724034709962403</v>
      </c>
      <c r="CU236" s="775">
        <f t="shared" si="330"/>
        <v>3.9809169127678148</v>
      </c>
      <c r="CV236" s="775"/>
      <c r="CW236" s="775"/>
      <c r="CX236" s="775"/>
      <c r="CY236" s="775"/>
      <c r="CZ236" s="775"/>
      <c r="DA236" s="775"/>
      <c r="DB236" s="775"/>
      <c r="DC236" s="775"/>
      <c r="DD236" s="775" t="b">
        <f t="shared" si="388"/>
        <v>0</v>
      </c>
      <c r="DE236" s="775">
        <f t="shared" si="331"/>
        <v>20.469648305140577</v>
      </c>
      <c r="DF236" s="776">
        <v>97</v>
      </c>
      <c r="DG236" s="775">
        <f t="shared" si="389"/>
        <v>2</v>
      </c>
      <c r="DH236" s="673">
        <f t="shared" si="332"/>
        <v>22.469648305140577</v>
      </c>
      <c r="DI236" s="673">
        <f t="shared" si="333"/>
        <v>19</v>
      </c>
      <c r="DJ236" s="775" t="b">
        <f t="shared" si="334"/>
        <v>1</v>
      </c>
      <c r="DK236" s="673"/>
      <c r="DL236" s="775">
        <f t="shared" si="335"/>
        <v>22.469648305140577</v>
      </c>
      <c r="DM236" s="775">
        <f t="shared" si="336"/>
        <v>0.7374883009353167</v>
      </c>
      <c r="DN236" s="775">
        <f t="shared" si="337"/>
        <v>8.6876515632020007E-2</v>
      </c>
      <c r="DO236" s="775">
        <f t="shared" si="338"/>
        <v>0.76079355764561396</v>
      </c>
      <c r="DP236" s="775">
        <f t="shared" si="339"/>
        <v>0.54251778240258952</v>
      </c>
      <c r="DQ236" s="775">
        <f t="shared" si="340"/>
        <v>20.502877510803341</v>
      </c>
      <c r="DR236" s="775">
        <f t="shared" si="341"/>
        <v>34.996773147303372</v>
      </c>
      <c r="DS236" s="775">
        <f t="shared" si="342"/>
        <v>17.630525999783011</v>
      </c>
      <c r="DT236" s="775">
        <f t="shared" si="343"/>
        <v>27.991738498273563</v>
      </c>
      <c r="DU236" s="775">
        <f t="shared" si="344"/>
        <v>1035.4335745131846</v>
      </c>
      <c r="DV236" s="775">
        <f t="shared" si="345"/>
        <v>42.164142482665383</v>
      </c>
      <c r="DW236" s="775">
        <f t="shared" si="346"/>
        <v>1.5392786550787136</v>
      </c>
      <c r="DX236" s="775">
        <f t="shared" si="347"/>
        <v>0.69967211594486978</v>
      </c>
      <c r="DY236" s="775">
        <f t="shared" si="348"/>
        <v>22.469648305140577</v>
      </c>
      <c r="DZ236" s="775">
        <f t="shared" si="349"/>
        <v>28.585616714332044</v>
      </c>
      <c r="EA236" s="775"/>
      <c r="EB236" s="775"/>
      <c r="EC236" s="775"/>
      <c r="ED236" s="775"/>
      <c r="EE236" s="775"/>
      <c r="EF236" s="775" t="b">
        <f t="shared" si="390"/>
        <v>0</v>
      </c>
      <c r="EG236" s="775">
        <f t="shared" si="350"/>
        <v>42.327596529003756</v>
      </c>
      <c r="EH236" s="775">
        <v>96</v>
      </c>
      <c r="EI236" s="775">
        <f t="shared" si="395"/>
        <v>48</v>
      </c>
      <c r="EJ236" s="673">
        <f t="shared" si="351"/>
        <v>5.6724034709962403</v>
      </c>
      <c r="EK236" s="673">
        <f t="shared" si="352"/>
        <v>2.2510196371999172</v>
      </c>
      <c r="EL236" s="775" t="b">
        <f t="shared" si="353"/>
        <v>0</v>
      </c>
      <c r="EM236" s="673"/>
      <c r="EN236" s="775">
        <f t="shared" si="354"/>
        <v>5.6724034709962403</v>
      </c>
      <c r="EO236" s="775">
        <f t="shared" si="355"/>
        <v>2.7058946548742975E-2</v>
      </c>
      <c r="EP236" s="775">
        <f t="shared" si="356"/>
        <v>1.8098092502710297E-3</v>
      </c>
      <c r="EQ236" s="775">
        <f t="shared" si="357"/>
        <v>5.3416185834518677</v>
      </c>
      <c r="ER236" s="775">
        <f t="shared" si="358"/>
        <v>2.6219533302211691</v>
      </c>
      <c r="ES236" s="775">
        <f t="shared" si="359"/>
        <v>4.9311961103499984</v>
      </c>
      <c r="ET236" s="775">
        <f t="shared" si="360"/>
        <v>9.6966516677102241</v>
      </c>
      <c r="EU236" s="775">
        <f t="shared" si="361"/>
        <v>2.5786088847201833</v>
      </c>
      <c r="EV236" s="775">
        <f t="shared" si="362"/>
        <v>3.6650605471627702</v>
      </c>
      <c r="EW236" s="775">
        <f t="shared" si="363"/>
        <v>33.823683185928722</v>
      </c>
      <c r="EX236" s="775">
        <f t="shared" si="364"/>
        <v>5.4830398112009888</v>
      </c>
      <c r="EY236" s="775">
        <f t="shared" si="391"/>
        <v>41.952852745212866</v>
      </c>
      <c r="EZ236" s="775">
        <f t="shared" si="365"/>
        <v>19.0694785205513</v>
      </c>
      <c r="FA236" s="775">
        <f t="shared" si="366"/>
        <v>5.6724034709962403</v>
      </c>
      <c r="FB236" s="775">
        <f t="shared" si="367"/>
        <v>3.9809169127678148</v>
      </c>
      <c r="FC236" s="775"/>
      <c r="FD236" s="775"/>
      <c r="FE236" s="775"/>
      <c r="FF236" s="775"/>
      <c r="FG236" s="775"/>
      <c r="FH236" s="775"/>
      <c r="FI236" s="775"/>
      <c r="FJ236" s="775"/>
      <c r="FK236" s="775" t="b">
        <f t="shared" si="392"/>
        <v>0</v>
      </c>
      <c r="FL236" s="775">
        <f t="shared" si="368"/>
        <v>26.585616714332044</v>
      </c>
      <c r="FM236" s="775">
        <v>96</v>
      </c>
      <c r="FN236" s="775">
        <f t="shared" si="393"/>
        <v>2</v>
      </c>
      <c r="FO236" s="673">
        <f t="shared" si="312"/>
        <v>28.585616714332044</v>
      </c>
      <c r="FP236" s="673">
        <f t="shared" si="369"/>
        <v>24.403675819467587</v>
      </c>
      <c r="FQ236" s="775" t="b">
        <f t="shared" si="370"/>
        <v>1</v>
      </c>
      <c r="FR236" s="673"/>
      <c r="FS236" s="775">
        <f t="shared" si="371"/>
        <v>28.585616714332044</v>
      </c>
      <c r="FT236" s="775">
        <f t="shared" si="372"/>
        <v>0.7374883009353167</v>
      </c>
      <c r="FU236" s="775">
        <f t="shared" si="373"/>
        <v>8.6876515632020007E-2</v>
      </c>
      <c r="FV236" s="775">
        <f t="shared" si="374"/>
        <v>0.76079355764561396</v>
      </c>
      <c r="FW236" s="775">
        <f t="shared" si="375"/>
        <v>0.54251778240258952</v>
      </c>
      <c r="FX236" s="775">
        <f t="shared" si="376"/>
        <v>26.333977691573541</v>
      </c>
      <c r="FY236" s="775">
        <f t="shared" si="377"/>
        <v>44.949995084959994</v>
      </c>
      <c r="FZ236" s="775">
        <f t="shared" si="378"/>
        <v>17.630525999783011</v>
      </c>
      <c r="GA236" s="775">
        <f t="shared" si="379"/>
        <v>27.991738498273563</v>
      </c>
      <c r="GB236" s="775">
        <f t="shared" si="380"/>
        <v>1035.4335745131846</v>
      </c>
      <c r="GC236" s="775">
        <f t="shared" si="381"/>
        <v>42.164142482665383</v>
      </c>
      <c r="GD236" s="775">
        <f t="shared" si="382"/>
        <v>0.56075060176890823</v>
      </c>
      <c r="GE236" s="775">
        <f t="shared" si="383"/>
        <v>0.25488663716768556</v>
      </c>
      <c r="GF236" s="775">
        <f t="shared" si="384"/>
        <v>27.316399330520809</v>
      </c>
      <c r="GG236" s="775">
        <f t="shared" si="385"/>
        <v>28.585616714332044</v>
      </c>
    </row>
    <row r="237" spans="70:189">
      <c r="BR237" s="775"/>
      <c r="BS237" s="775"/>
      <c r="BT237" s="775"/>
      <c r="BU237" s="775"/>
      <c r="BV237" s="775"/>
      <c r="BW237" s="775"/>
      <c r="BX237" s="775"/>
      <c r="BY237" s="775" t="b">
        <f t="shared" si="386"/>
        <v>0</v>
      </c>
      <c r="BZ237" s="775">
        <f t="shared" si="313"/>
        <v>42.81114750334411</v>
      </c>
      <c r="CA237" s="775">
        <v>97</v>
      </c>
      <c r="CB237" s="775">
        <f t="shared" si="394"/>
        <v>48.5</v>
      </c>
      <c r="CC237" s="673">
        <f t="shared" si="314"/>
        <v>5.6888524966558913</v>
      </c>
      <c r="CD237" s="91">
        <f t="shared" si="315"/>
        <v>2</v>
      </c>
      <c r="CE237" s="775" t="b">
        <f t="shared" si="316"/>
        <v>0</v>
      </c>
      <c r="CF237" s="673"/>
      <c r="CG237" s="775">
        <f t="shared" si="317"/>
        <v>5.6888524966558913</v>
      </c>
      <c r="CH237" s="775">
        <f t="shared" si="318"/>
        <v>2.6785539218425431E-2</v>
      </c>
      <c r="CI237" s="775">
        <f t="shared" si="319"/>
        <v>1.791522687835598E-3</v>
      </c>
      <c r="CJ237" s="775">
        <f t="shared" si="320"/>
        <v>5.344127215348303</v>
      </c>
      <c r="CK237" s="775">
        <f t="shared" si="321"/>
        <v>2.622545276768268</v>
      </c>
      <c r="CL237" s="775">
        <f t="shared" si="322"/>
        <v>4.9437317459762466</v>
      </c>
      <c r="CM237" s="775">
        <f t="shared" si="323"/>
        <v>9.7213016084915154</v>
      </c>
      <c r="CN237" s="775">
        <f t="shared" si="324"/>
        <v>2.5820617441084881</v>
      </c>
      <c r="CO237" s="775">
        <f t="shared" si="325"/>
        <v>3.6698478008126512</v>
      </c>
      <c r="CP237" s="775">
        <f t="shared" si="326"/>
        <v>33.481924023031787</v>
      </c>
      <c r="CQ237" s="775">
        <f t="shared" si="327"/>
        <v>5.4276384202375656</v>
      </c>
      <c r="CR237" s="775">
        <f t="shared" si="387"/>
        <v>42.381076996169277</v>
      </c>
      <c r="CS237" s="775">
        <f t="shared" si="328"/>
        <v>19.264125907349669</v>
      </c>
      <c r="CT237" s="775">
        <f t="shared" si="329"/>
        <v>5.6888524966558913</v>
      </c>
      <c r="CU237" s="775">
        <f t="shared" si="330"/>
        <v>3.9874266599691746</v>
      </c>
      <c r="CV237" s="775"/>
      <c r="CW237" s="775"/>
      <c r="CX237" s="775"/>
      <c r="CY237" s="775"/>
      <c r="CZ237" s="775"/>
      <c r="DA237" s="775"/>
      <c r="DB237" s="775"/>
      <c r="DC237" s="775"/>
      <c r="DD237" s="775" t="b">
        <f t="shared" si="388"/>
        <v>0</v>
      </c>
      <c r="DE237" s="775">
        <f t="shared" si="331"/>
        <v>19.867605657797171</v>
      </c>
      <c r="DF237" s="776">
        <v>98</v>
      </c>
      <c r="DG237" s="775">
        <f t="shared" si="389"/>
        <v>1.5</v>
      </c>
      <c r="DH237" s="673">
        <f t="shared" si="332"/>
        <v>21.367605657797171</v>
      </c>
      <c r="DI237" s="673">
        <f t="shared" si="333"/>
        <v>19</v>
      </c>
      <c r="DJ237" s="775" t="b">
        <f t="shared" si="334"/>
        <v>1</v>
      </c>
      <c r="DK237" s="673"/>
      <c r="DL237" s="775">
        <f t="shared" si="335"/>
        <v>21.367605657797171</v>
      </c>
      <c r="DM237" s="775">
        <f t="shared" si="336"/>
        <v>0.94368626172813075</v>
      </c>
      <c r="DN237" s="775">
        <f t="shared" si="337"/>
        <v>0.11116674551280388</v>
      </c>
      <c r="DO237" s="775">
        <f t="shared" si="338"/>
        <v>0.67119427925879427</v>
      </c>
      <c r="DP237" s="775">
        <f t="shared" si="339"/>
        <v>0.49661104551954288</v>
      </c>
      <c r="DQ237" s="775">
        <f t="shared" si="340"/>
        <v>19.277321605429364</v>
      </c>
      <c r="DR237" s="775">
        <f t="shared" si="341"/>
        <v>32.904847173638885</v>
      </c>
      <c r="DS237" s="775">
        <f t="shared" si="342"/>
        <v>16.68697270342232</v>
      </c>
      <c r="DT237" s="775">
        <f t="shared" si="343"/>
        <v>26.578413320852295</v>
      </c>
      <c r="DU237" s="775">
        <f t="shared" si="344"/>
        <v>1324.9355114662956</v>
      </c>
      <c r="DV237" s="775">
        <f t="shared" si="345"/>
        <v>53.953021285863933</v>
      </c>
      <c r="DW237" s="775">
        <f t="shared" si="346"/>
        <v>1.2029421705484602</v>
      </c>
      <c r="DX237" s="775">
        <f t="shared" si="347"/>
        <v>0.54679189570384545</v>
      </c>
      <c r="DY237" s="775">
        <f t="shared" si="348"/>
        <v>21.367605657797171</v>
      </c>
      <c r="DZ237" s="775">
        <f t="shared" si="349"/>
        <v>27.506372729904722</v>
      </c>
      <c r="EA237" s="775"/>
      <c r="EB237" s="775"/>
      <c r="EC237" s="775"/>
      <c r="ED237" s="775"/>
      <c r="EE237" s="775"/>
      <c r="EF237" s="775" t="b">
        <f t="shared" si="390"/>
        <v>0</v>
      </c>
      <c r="EG237" s="775">
        <f t="shared" si="350"/>
        <v>42.81114750334411</v>
      </c>
      <c r="EH237" s="775">
        <v>97</v>
      </c>
      <c r="EI237" s="775">
        <f t="shared" si="395"/>
        <v>48.5</v>
      </c>
      <c r="EJ237" s="673">
        <f t="shared" si="351"/>
        <v>5.6888524966558913</v>
      </c>
      <c r="EK237" s="673">
        <f t="shared" si="352"/>
        <v>2.2510196371999172</v>
      </c>
      <c r="EL237" s="775" t="b">
        <f t="shared" si="353"/>
        <v>0</v>
      </c>
      <c r="EM237" s="673"/>
      <c r="EN237" s="775">
        <f t="shared" si="354"/>
        <v>5.6888524966558913</v>
      </c>
      <c r="EO237" s="775">
        <f t="shared" si="355"/>
        <v>2.6785539218425431E-2</v>
      </c>
      <c r="EP237" s="775">
        <f t="shared" si="356"/>
        <v>1.791522687835598E-3</v>
      </c>
      <c r="EQ237" s="775">
        <f t="shared" si="357"/>
        <v>5.344127215348303</v>
      </c>
      <c r="ER237" s="775">
        <f t="shared" si="358"/>
        <v>2.622545276768268</v>
      </c>
      <c r="ES237" s="775">
        <f t="shared" si="359"/>
        <v>4.9437317459762466</v>
      </c>
      <c r="ET237" s="775">
        <f t="shared" si="360"/>
        <v>9.7213016084915154</v>
      </c>
      <c r="EU237" s="775">
        <f t="shared" si="361"/>
        <v>2.5820617441084881</v>
      </c>
      <c r="EV237" s="775">
        <f t="shared" si="362"/>
        <v>3.6698478008126512</v>
      </c>
      <c r="EW237" s="775">
        <f t="shared" si="363"/>
        <v>33.481924023031787</v>
      </c>
      <c r="EX237" s="775">
        <f t="shared" si="364"/>
        <v>5.4276384202375656</v>
      </c>
      <c r="EY237" s="775">
        <f t="shared" si="391"/>
        <v>42.381076996169277</v>
      </c>
      <c r="EZ237" s="775">
        <f t="shared" si="365"/>
        <v>19.264125907349669</v>
      </c>
      <c r="FA237" s="775">
        <f t="shared" si="366"/>
        <v>5.6888524966558913</v>
      </c>
      <c r="FB237" s="775">
        <f t="shared" si="367"/>
        <v>3.9874266599691746</v>
      </c>
      <c r="FC237" s="775"/>
      <c r="FD237" s="775"/>
      <c r="FE237" s="775"/>
      <c r="FF237" s="775"/>
      <c r="FG237" s="775"/>
      <c r="FH237" s="775"/>
      <c r="FI237" s="775"/>
      <c r="FJ237" s="775"/>
      <c r="FK237" s="775" t="b">
        <f t="shared" si="392"/>
        <v>0</v>
      </c>
      <c r="FL237" s="775">
        <f t="shared" si="368"/>
        <v>26.006372729904722</v>
      </c>
      <c r="FM237" s="775">
        <v>97</v>
      </c>
      <c r="FN237" s="775">
        <f t="shared" si="393"/>
        <v>1.5</v>
      </c>
      <c r="FO237" s="673">
        <f t="shared" si="312"/>
        <v>27.506372729904722</v>
      </c>
      <c r="FP237" s="673">
        <f t="shared" si="369"/>
        <v>24.403675819467587</v>
      </c>
      <c r="FQ237" s="775" t="b">
        <f t="shared" si="370"/>
        <v>1</v>
      </c>
      <c r="FR237" s="673"/>
      <c r="FS237" s="775">
        <f t="shared" si="371"/>
        <v>27.506372729904722</v>
      </c>
      <c r="FT237" s="775">
        <f t="shared" si="372"/>
        <v>0.94368626172813075</v>
      </c>
      <c r="FU237" s="775">
        <f t="shared" si="373"/>
        <v>0.11116674551280388</v>
      </c>
      <c r="FV237" s="775">
        <f t="shared" si="374"/>
        <v>0.67119427925879427</v>
      </c>
      <c r="FW237" s="775">
        <f t="shared" si="375"/>
        <v>0.49661104551954288</v>
      </c>
      <c r="FX237" s="775">
        <f t="shared" si="376"/>
        <v>24.759868796132455</v>
      </c>
      <c r="FY237" s="775">
        <f t="shared" si="377"/>
        <v>42.26311701655829</v>
      </c>
      <c r="FZ237" s="775">
        <f t="shared" si="378"/>
        <v>16.68697270342232</v>
      </c>
      <c r="GA237" s="775">
        <f t="shared" si="379"/>
        <v>26.578413320852295</v>
      </c>
      <c r="GB237" s="775">
        <f t="shared" si="380"/>
        <v>1324.9355114662956</v>
      </c>
      <c r="GC237" s="775">
        <f t="shared" si="381"/>
        <v>53.953021285863933</v>
      </c>
      <c r="GD237" s="775">
        <f t="shared" si="382"/>
        <v>0.43822510225983186</v>
      </c>
      <c r="GE237" s="775">
        <f t="shared" si="383"/>
        <v>0.19919322829992356</v>
      </c>
      <c r="GF237" s="775">
        <f t="shared" si="384"/>
        <v>26.068753686601926</v>
      </c>
      <c r="GG237" s="775">
        <f t="shared" si="385"/>
        <v>27.506372729904722</v>
      </c>
    </row>
    <row r="238" spans="70:189">
      <c r="BR238" s="775"/>
      <c r="BS238" s="775"/>
      <c r="BT238" s="775"/>
      <c r="BU238" s="775"/>
      <c r="BV238" s="775"/>
      <c r="BW238" s="775"/>
      <c r="BX238" s="775"/>
      <c r="BY238" s="775" t="b">
        <f t="shared" si="386"/>
        <v>0</v>
      </c>
      <c r="BZ238" s="775">
        <f t="shared" si="313"/>
        <v>43.294831684181077</v>
      </c>
      <c r="CA238" s="775">
        <v>98</v>
      </c>
      <c r="CB238" s="775">
        <f t="shared" si="394"/>
        <v>49</v>
      </c>
      <c r="CC238" s="673">
        <f t="shared" si="314"/>
        <v>5.7051683158189199</v>
      </c>
      <c r="CD238" s="91">
        <f t="shared" si="315"/>
        <v>2</v>
      </c>
      <c r="CE238" s="775" t="b">
        <f t="shared" si="316"/>
        <v>0</v>
      </c>
      <c r="CF238" s="673"/>
      <c r="CG238" s="775">
        <f t="shared" si="317"/>
        <v>5.7051683158189199</v>
      </c>
      <c r="CH238" s="775">
        <f t="shared" si="318"/>
        <v>2.6517656398740676E-2</v>
      </c>
      <c r="CI238" s="775">
        <f t="shared" si="319"/>
        <v>1.7736056264976473E-3</v>
      </c>
      <c r="CJ238" s="775">
        <f t="shared" si="320"/>
        <v>5.346588130612119</v>
      </c>
      <c r="CK238" s="775">
        <f t="shared" si="321"/>
        <v>2.6231256513784098</v>
      </c>
      <c r="CL238" s="775">
        <f t="shared" si="322"/>
        <v>4.9561701867951697</v>
      </c>
      <c r="CM238" s="775">
        <f t="shared" si="323"/>
        <v>9.7457604264357833</v>
      </c>
      <c r="CN238" s="775">
        <f t="shared" si="324"/>
        <v>2.5854833219756821</v>
      </c>
      <c r="CO238" s="775">
        <f t="shared" si="325"/>
        <v>3.6745917906849259</v>
      </c>
      <c r="CP238" s="775">
        <f t="shared" si="326"/>
        <v>33.147070498425848</v>
      </c>
      <c r="CQ238" s="775">
        <f t="shared" si="327"/>
        <v>5.3733564783141272</v>
      </c>
      <c r="CR238" s="775">
        <f t="shared" si="387"/>
        <v>42.809212960988162</v>
      </c>
      <c r="CS238" s="775">
        <f t="shared" si="328"/>
        <v>19.458733164085526</v>
      </c>
      <c r="CT238" s="775">
        <f t="shared" si="329"/>
        <v>5.7051683158189199</v>
      </c>
      <c r="CU238" s="775">
        <f t="shared" si="330"/>
        <v>3.993876706040278</v>
      </c>
      <c r="CV238" s="775"/>
      <c r="CW238" s="775"/>
      <c r="CX238" s="775"/>
      <c r="CY238" s="775"/>
      <c r="CZ238" s="775"/>
      <c r="DA238" s="775"/>
      <c r="DB238" s="775"/>
      <c r="DC238" s="775"/>
      <c r="DD238" s="775" t="b">
        <f t="shared" si="388"/>
        <v>0</v>
      </c>
      <c r="DE238" s="775">
        <f t="shared" si="331"/>
        <v>18.87706385069086</v>
      </c>
      <c r="DF238" s="776">
        <v>99</v>
      </c>
      <c r="DG238" s="775">
        <f t="shared" si="389"/>
        <v>1</v>
      </c>
      <c r="DH238" s="673">
        <f t="shared" si="332"/>
        <v>19.87706385069086</v>
      </c>
      <c r="DI238" s="673">
        <f t="shared" si="333"/>
        <v>19</v>
      </c>
      <c r="DJ238" s="775" t="b">
        <f t="shared" si="334"/>
        <v>1</v>
      </c>
      <c r="DK238" s="673"/>
      <c r="DL238" s="775">
        <f t="shared" si="335"/>
        <v>19.87706385069086</v>
      </c>
      <c r="DM238" s="775">
        <f t="shared" si="336"/>
        <v>1.3357889348101957</v>
      </c>
      <c r="DN238" s="775">
        <f t="shared" si="337"/>
        <v>0.15735664976507291</v>
      </c>
      <c r="DO238" s="775">
        <f t="shared" si="338"/>
        <v>0.55757739753425906</v>
      </c>
      <c r="DP238" s="775">
        <f t="shared" si="339"/>
        <v>0.43418940752948881</v>
      </c>
      <c r="DQ238" s="775">
        <f t="shared" si="340"/>
        <v>17.673360674828906</v>
      </c>
      <c r="DR238" s="775">
        <f t="shared" si="341"/>
        <v>30.167014067247642</v>
      </c>
      <c r="DS238" s="775">
        <f t="shared" si="342"/>
        <v>15.433997998177581</v>
      </c>
      <c r="DT238" s="775">
        <f t="shared" si="343"/>
        <v>24.689719765938104</v>
      </c>
      <c r="DU238" s="775">
        <f t="shared" si="344"/>
        <v>1875.4476644735148</v>
      </c>
      <c r="DV238" s="775">
        <f t="shared" si="345"/>
        <v>76.370560594214524</v>
      </c>
      <c r="DW238" s="775">
        <f t="shared" si="346"/>
        <v>0.84983485820033566</v>
      </c>
      <c r="DX238" s="775">
        <f t="shared" si="347"/>
        <v>0.38628857190924343</v>
      </c>
      <c r="DY238" s="775">
        <f t="shared" si="348"/>
        <v>19.87706385069086</v>
      </c>
      <c r="DZ238" s="775">
        <f t="shared" si="349"/>
        <v>26.01215555509458</v>
      </c>
      <c r="EA238" s="775"/>
      <c r="EB238" s="775"/>
      <c r="EC238" s="775"/>
      <c r="ED238" s="775"/>
      <c r="EE238" s="775"/>
      <c r="EF238" s="775" t="b">
        <f t="shared" si="390"/>
        <v>0</v>
      </c>
      <c r="EG238" s="775">
        <f t="shared" si="350"/>
        <v>43.294831684181077</v>
      </c>
      <c r="EH238" s="775">
        <v>98</v>
      </c>
      <c r="EI238" s="775">
        <f t="shared" si="395"/>
        <v>49</v>
      </c>
      <c r="EJ238" s="673">
        <f t="shared" si="351"/>
        <v>5.7051683158189199</v>
      </c>
      <c r="EK238" s="673">
        <f t="shared" si="352"/>
        <v>2.2510196371999172</v>
      </c>
      <c r="EL238" s="775" t="b">
        <f t="shared" si="353"/>
        <v>0</v>
      </c>
      <c r="EM238" s="673"/>
      <c r="EN238" s="775">
        <f t="shared" si="354"/>
        <v>5.7051683158189199</v>
      </c>
      <c r="EO238" s="775">
        <f t="shared" si="355"/>
        <v>2.6517656398740676E-2</v>
      </c>
      <c r="EP238" s="775">
        <f t="shared" si="356"/>
        <v>1.7736056264976473E-3</v>
      </c>
      <c r="EQ238" s="775">
        <f t="shared" si="357"/>
        <v>5.346588130612119</v>
      </c>
      <c r="ER238" s="775">
        <f t="shared" si="358"/>
        <v>2.6231256513784098</v>
      </c>
      <c r="ES238" s="775">
        <f t="shared" si="359"/>
        <v>4.9561701867951697</v>
      </c>
      <c r="ET238" s="775">
        <f t="shared" si="360"/>
        <v>9.7457604264357833</v>
      </c>
      <c r="EU238" s="775">
        <f t="shared" si="361"/>
        <v>2.5854833219756821</v>
      </c>
      <c r="EV238" s="775">
        <f t="shared" si="362"/>
        <v>3.6745917906849259</v>
      </c>
      <c r="EW238" s="775">
        <f t="shared" si="363"/>
        <v>33.147070498425848</v>
      </c>
      <c r="EX238" s="775">
        <f t="shared" si="364"/>
        <v>5.3733564783141272</v>
      </c>
      <c r="EY238" s="775">
        <f t="shared" si="391"/>
        <v>42.809212960988162</v>
      </c>
      <c r="EZ238" s="775">
        <f t="shared" si="365"/>
        <v>19.458733164085526</v>
      </c>
      <c r="FA238" s="775">
        <f t="shared" si="366"/>
        <v>5.7051683158189199</v>
      </c>
      <c r="FB238" s="775">
        <f t="shared" si="367"/>
        <v>3.993876706040278</v>
      </c>
      <c r="FC238" s="775"/>
      <c r="FD238" s="775"/>
      <c r="FE238" s="775"/>
      <c r="FF238" s="775"/>
      <c r="FG238" s="775"/>
      <c r="FH238" s="775"/>
      <c r="FI238" s="775"/>
      <c r="FJ238" s="775"/>
      <c r="FK238" s="775" t="b">
        <f t="shared" si="392"/>
        <v>0</v>
      </c>
      <c r="FL238" s="775">
        <f t="shared" si="368"/>
        <v>25.01215555509458</v>
      </c>
      <c r="FM238" s="775">
        <v>98</v>
      </c>
      <c r="FN238" s="775">
        <f t="shared" si="393"/>
        <v>1</v>
      </c>
      <c r="FO238" s="673">
        <f t="shared" si="312"/>
        <v>26.01215555509458</v>
      </c>
      <c r="FP238" s="673">
        <f t="shared" si="369"/>
        <v>24.403675819467587</v>
      </c>
      <c r="FQ238" s="775" t="b">
        <f t="shared" si="370"/>
        <v>1</v>
      </c>
      <c r="FR238" s="673"/>
      <c r="FS238" s="775">
        <f t="shared" si="371"/>
        <v>26.01215555509458</v>
      </c>
      <c r="FT238" s="775">
        <f t="shared" si="372"/>
        <v>1.3357889348101957</v>
      </c>
      <c r="FU238" s="775">
        <f t="shared" si="373"/>
        <v>0.15735664976507291</v>
      </c>
      <c r="FV238" s="775">
        <f t="shared" si="374"/>
        <v>0.55757739753425906</v>
      </c>
      <c r="FW238" s="775">
        <f t="shared" si="375"/>
        <v>0.43418940752948881</v>
      </c>
      <c r="FX238" s="775">
        <f t="shared" si="376"/>
        <v>22.699734976265873</v>
      </c>
      <c r="FY238" s="775">
        <f t="shared" si="377"/>
        <v>38.746633249391039</v>
      </c>
      <c r="FZ238" s="775">
        <f t="shared" si="378"/>
        <v>15.433997998177581</v>
      </c>
      <c r="GA238" s="775">
        <f t="shared" si="379"/>
        <v>24.689719765938104</v>
      </c>
      <c r="GB238" s="775">
        <f t="shared" si="380"/>
        <v>1875.4476644735148</v>
      </c>
      <c r="GC238" s="775">
        <f t="shared" si="381"/>
        <v>76.370560594214524</v>
      </c>
      <c r="GD238" s="775">
        <f t="shared" si="382"/>
        <v>0.30959008400961946</v>
      </c>
      <c r="GE238" s="775">
        <f t="shared" si="383"/>
        <v>0.14072276545891793</v>
      </c>
      <c r="GF238" s="775">
        <f t="shared" si="384"/>
        <v>24.369683188203688</v>
      </c>
      <c r="GG238" s="775">
        <f t="shared" si="385"/>
        <v>26.01215555509458</v>
      </c>
    </row>
    <row r="239" spans="70:189">
      <c r="BR239" s="775"/>
      <c r="BS239" s="775"/>
      <c r="BT239" s="775"/>
      <c r="BU239" s="775"/>
      <c r="BV239" s="775"/>
      <c r="BW239" s="775"/>
      <c r="BX239" s="775"/>
      <c r="BY239" s="775" t="b">
        <f t="shared" si="386"/>
        <v>0</v>
      </c>
      <c r="BZ239" s="775">
        <f t="shared" si="313"/>
        <v>43.778646662938634</v>
      </c>
      <c r="CA239" s="775">
        <v>99</v>
      </c>
      <c r="CB239" s="775">
        <f t="shared" si="394"/>
        <v>49.5</v>
      </c>
      <c r="CC239" s="673">
        <f t="shared" si="314"/>
        <v>5.7213533370613634</v>
      </c>
      <c r="CD239" s="91">
        <f t="shared" si="315"/>
        <v>2</v>
      </c>
      <c r="CE239" s="775" t="b">
        <f t="shared" si="316"/>
        <v>0</v>
      </c>
      <c r="CF239" s="673"/>
      <c r="CG239" s="775">
        <f t="shared" si="317"/>
        <v>5.7213533370613634</v>
      </c>
      <c r="CH239" s="775">
        <f t="shared" si="318"/>
        <v>2.6255131779425067E-2</v>
      </c>
      <c r="CI239" s="775">
        <f t="shared" si="319"/>
        <v>1.7560469427696829E-3</v>
      </c>
      <c r="CJ239" s="775">
        <f t="shared" si="320"/>
        <v>5.3490026832206476</v>
      </c>
      <c r="CK239" s="775">
        <f t="shared" si="321"/>
        <v>2.6236947913113138</v>
      </c>
      <c r="CL239" s="775">
        <f t="shared" si="322"/>
        <v>4.9685131667598608</v>
      </c>
      <c r="CM239" s="775">
        <f t="shared" si="323"/>
        <v>9.7700315311699715</v>
      </c>
      <c r="CN239" s="775">
        <f t="shared" si="324"/>
        <v>2.5888742169472954</v>
      </c>
      <c r="CO239" s="775">
        <f t="shared" si="325"/>
        <v>3.6792933436206319</v>
      </c>
      <c r="CP239" s="775">
        <f t="shared" si="326"/>
        <v>32.818914724281335</v>
      </c>
      <c r="CQ239" s="775">
        <f t="shared" si="327"/>
        <v>5.3201602854566215</v>
      </c>
      <c r="CR239" s="775">
        <f t="shared" si="387"/>
        <v>43.237261558504301</v>
      </c>
      <c r="CS239" s="775">
        <f t="shared" si="328"/>
        <v>19.653300708411045</v>
      </c>
      <c r="CT239" s="775">
        <f t="shared" si="329"/>
        <v>5.7213533370613634</v>
      </c>
      <c r="CU239" s="775">
        <f t="shared" si="330"/>
        <v>4.0002681988348616</v>
      </c>
      <c r="CV239" s="775"/>
      <c r="CW239" s="775"/>
      <c r="CX239" s="775"/>
      <c r="CY239" s="775"/>
      <c r="CZ239" s="775"/>
      <c r="DA239" s="775"/>
      <c r="DB239" s="775"/>
      <c r="DC239" s="775"/>
      <c r="DD239" s="775" t="b">
        <f t="shared" si="388"/>
        <v>0</v>
      </c>
      <c r="DE239" s="775">
        <f t="shared" si="331"/>
        <v>16.998993327112178</v>
      </c>
      <c r="DF239" s="776">
        <v>100</v>
      </c>
      <c r="DG239" s="775">
        <f t="shared" si="389"/>
        <v>0.5</v>
      </c>
      <c r="DH239" s="673">
        <f t="shared" si="332"/>
        <v>17.498993327112178</v>
      </c>
      <c r="DI239" s="673">
        <f t="shared" si="333"/>
        <v>19</v>
      </c>
      <c r="DJ239" s="775" t="b">
        <f t="shared" si="334"/>
        <v>1</v>
      </c>
      <c r="DK239" s="673"/>
      <c r="DL239" s="775">
        <f t="shared" si="335"/>
        <v>17.498993327112178</v>
      </c>
      <c r="DM239" s="775">
        <f t="shared" si="336"/>
        <v>2.4194717070065841</v>
      </c>
      <c r="DN239" s="775">
        <f t="shared" si="337"/>
        <v>0.285015058962167</v>
      </c>
      <c r="DO239" s="775">
        <f t="shared" si="338"/>
        <v>0.39878921239629966</v>
      </c>
      <c r="DP239" s="775">
        <f t="shared" si="339"/>
        <v>0.33790128282889215</v>
      </c>
      <c r="DQ239" s="775">
        <f t="shared" si="340"/>
        <v>15.234333686966973</v>
      </c>
      <c r="DR239" s="775">
        <f t="shared" si="341"/>
        <v>26.003789946663691</v>
      </c>
      <c r="DS239" s="775">
        <f t="shared" si="342"/>
        <v>13.487669025791776</v>
      </c>
      <c r="DT239" s="775">
        <f t="shared" si="343"/>
        <v>21.727472706670511</v>
      </c>
      <c r="DU239" s="775">
        <f t="shared" si="344"/>
        <v>3396.9382766372441</v>
      </c>
      <c r="DV239" s="775">
        <f t="shared" si="345"/>
        <v>138.32754995248493</v>
      </c>
      <c r="DW239" s="775">
        <f t="shared" si="346"/>
        <v>0.46919333535191066</v>
      </c>
      <c r="DX239" s="775">
        <f t="shared" si="347"/>
        <v>0.2132696978872321</v>
      </c>
      <c r="DY239" s="775">
        <f t="shared" si="348"/>
        <v>17.498993327112178</v>
      </c>
      <c r="DZ239" s="775">
        <f t="shared" si="349"/>
        <v>23.540398971162233</v>
      </c>
      <c r="EA239" s="775"/>
      <c r="EB239" s="775"/>
      <c r="EC239" s="775"/>
      <c r="ED239" s="775"/>
      <c r="EE239" s="775"/>
      <c r="EF239" s="775" t="b">
        <f t="shared" si="390"/>
        <v>0</v>
      </c>
      <c r="EG239" s="775">
        <f t="shared" si="350"/>
        <v>43.778646662938634</v>
      </c>
      <c r="EH239" s="775">
        <v>99</v>
      </c>
      <c r="EI239" s="775">
        <f t="shared" si="395"/>
        <v>49.5</v>
      </c>
      <c r="EJ239" s="673">
        <f t="shared" si="351"/>
        <v>5.7213533370613634</v>
      </c>
      <c r="EK239" s="673">
        <f t="shared" si="352"/>
        <v>2.2510196371999172</v>
      </c>
      <c r="EL239" s="775" t="b">
        <f t="shared" si="353"/>
        <v>0</v>
      </c>
      <c r="EM239" s="673"/>
      <c r="EN239" s="775">
        <f t="shared" si="354"/>
        <v>5.7213533370613634</v>
      </c>
      <c r="EO239" s="775">
        <f t="shared" si="355"/>
        <v>2.6255131779425067E-2</v>
      </c>
      <c r="EP239" s="775">
        <f t="shared" si="356"/>
        <v>1.7560469427696829E-3</v>
      </c>
      <c r="EQ239" s="775">
        <f t="shared" si="357"/>
        <v>5.3490026832206476</v>
      </c>
      <c r="ER239" s="775">
        <f t="shared" si="358"/>
        <v>2.6236947913113138</v>
      </c>
      <c r="ES239" s="775">
        <f t="shared" si="359"/>
        <v>4.9685131667598608</v>
      </c>
      <c r="ET239" s="775">
        <f t="shared" si="360"/>
        <v>9.7700315311699715</v>
      </c>
      <c r="EU239" s="775">
        <f t="shared" si="361"/>
        <v>2.5888742169472954</v>
      </c>
      <c r="EV239" s="775">
        <f t="shared" si="362"/>
        <v>3.6792933436206319</v>
      </c>
      <c r="EW239" s="775">
        <f t="shared" si="363"/>
        <v>32.818914724281335</v>
      </c>
      <c r="EX239" s="775">
        <f t="shared" si="364"/>
        <v>5.3201602854566215</v>
      </c>
      <c r="EY239" s="775">
        <f t="shared" si="391"/>
        <v>43.237261558504301</v>
      </c>
      <c r="EZ239" s="775">
        <f t="shared" si="365"/>
        <v>19.653300708411045</v>
      </c>
      <c r="FA239" s="775">
        <f t="shared" si="366"/>
        <v>5.7213533370613634</v>
      </c>
      <c r="FB239" s="775">
        <f t="shared" si="367"/>
        <v>4.0002681988348616</v>
      </c>
      <c r="FC239" s="775"/>
      <c r="FD239" s="775"/>
      <c r="FE239" s="775"/>
      <c r="FF239" s="775"/>
      <c r="FG239" s="775"/>
      <c r="FH239" s="775"/>
      <c r="FI239" s="775"/>
      <c r="FJ239" s="775"/>
      <c r="FK239" s="775" t="b">
        <f t="shared" si="392"/>
        <v>0</v>
      </c>
      <c r="FL239" s="775">
        <f t="shared" si="368"/>
        <v>23.040398971162233</v>
      </c>
      <c r="FM239" s="775">
        <v>99</v>
      </c>
      <c r="FN239" s="775">
        <f t="shared" si="393"/>
        <v>0.5</v>
      </c>
      <c r="FO239" s="673">
        <f t="shared" si="312"/>
        <v>23.540398971162233</v>
      </c>
      <c r="FP239" s="673">
        <f t="shared" si="369"/>
        <v>24.403675819467587</v>
      </c>
      <c r="FQ239" s="775" t="b">
        <f t="shared" si="370"/>
        <v>1</v>
      </c>
      <c r="FR239" s="673"/>
      <c r="FS239" s="775">
        <f t="shared" si="371"/>
        <v>23.540398971162233</v>
      </c>
      <c r="FT239" s="775">
        <f t="shared" si="372"/>
        <v>2.4194717070065841</v>
      </c>
      <c r="FU239" s="775">
        <f t="shared" si="373"/>
        <v>0.285015058962167</v>
      </c>
      <c r="FV239" s="775">
        <f t="shared" si="374"/>
        <v>0.39878921239629966</v>
      </c>
      <c r="FW239" s="775">
        <f t="shared" si="375"/>
        <v>0.33790128282889215</v>
      </c>
      <c r="FX239" s="775">
        <f t="shared" si="376"/>
        <v>19.56703898012297</v>
      </c>
      <c r="FY239" s="775">
        <f t="shared" si="377"/>
        <v>33.399371575574264</v>
      </c>
      <c r="FZ239" s="775">
        <f t="shared" si="378"/>
        <v>13.487669025791776</v>
      </c>
      <c r="GA239" s="775">
        <f t="shared" si="379"/>
        <v>21.727472706670511</v>
      </c>
      <c r="GB239" s="775">
        <f t="shared" si="380"/>
        <v>3396.9382766372441</v>
      </c>
      <c r="GC239" s="775">
        <f t="shared" si="381"/>
        <v>138.32754995248493</v>
      </c>
      <c r="GD239" s="775">
        <f t="shared" si="382"/>
        <v>0.17092450692827349</v>
      </c>
      <c r="GE239" s="775">
        <f t="shared" si="383"/>
        <v>7.7692957694669759E-2</v>
      </c>
      <c r="GF239" s="775">
        <f t="shared" si="384"/>
        <v>21.63094314171364</v>
      </c>
      <c r="GG239" s="775">
        <f t="shared" si="385"/>
        <v>23.540398971162233</v>
      </c>
    </row>
    <row r="240" spans="70:189">
      <c r="BR240" s="775"/>
      <c r="BS240" s="775"/>
      <c r="BT240" s="775"/>
      <c r="BU240" s="775"/>
      <c r="BV240" s="775"/>
      <c r="BW240" s="775"/>
      <c r="BX240" s="775"/>
      <c r="BY240" s="775" t="b">
        <f t="shared" si="386"/>
        <v>0</v>
      </c>
      <c r="BZ240" s="775">
        <f t="shared" si="313"/>
        <v>44.262590098312003</v>
      </c>
      <c r="CA240" s="775">
        <v>100</v>
      </c>
      <c r="CB240" s="775">
        <f t="shared" si="394"/>
        <v>50</v>
      </c>
      <c r="CC240" s="673">
        <f t="shared" si="314"/>
        <v>5.7374099016879976</v>
      </c>
      <c r="CD240" s="91">
        <f t="shared" si="315"/>
        <v>2</v>
      </c>
      <c r="CE240" s="775" t="b">
        <f t="shared" si="316"/>
        <v>0</v>
      </c>
      <c r="CF240" s="673"/>
      <c r="CG240" s="775">
        <f t="shared" si="317"/>
        <v>5.7374099016879976</v>
      </c>
      <c r="CH240" s="775">
        <f t="shared" si="318"/>
        <v>2.5997805670030988E-2</v>
      </c>
      <c r="CI240" s="775">
        <f t="shared" si="319"/>
        <v>1.7388359559236597E-3</v>
      </c>
      <c r="CJ240" s="775">
        <f t="shared" si="320"/>
        <v>5.3513721762922799</v>
      </c>
      <c r="CK240" s="775">
        <f t="shared" si="321"/>
        <v>2.6242530208223878</v>
      </c>
      <c r="CL240" s="775">
        <f t="shared" si="322"/>
        <v>4.9807623717518501</v>
      </c>
      <c r="CM240" s="775">
        <f t="shared" si="323"/>
        <v>9.794118237793624</v>
      </c>
      <c r="CN240" s="775">
        <f t="shared" si="324"/>
        <v>2.5922350102850396</v>
      </c>
      <c r="CO240" s="775">
        <f t="shared" si="325"/>
        <v>3.6839532624987661</v>
      </c>
      <c r="CP240" s="775">
        <f t="shared" si="326"/>
        <v>32.497257087538735</v>
      </c>
      <c r="CQ240" s="775">
        <f t="shared" si="327"/>
        <v>5.2680174830852282</v>
      </c>
      <c r="CR240" s="775">
        <f t="shared" si="387"/>
        <v>43.66522368880554</v>
      </c>
      <c r="CS240" s="775">
        <f t="shared" si="328"/>
        <v>19.84782894945706</v>
      </c>
      <c r="CT240" s="775">
        <f t="shared" si="329"/>
        <v>5.7374099016879976</v>
      </c>
      <c r="CU240" s="775">
        <f t="shared" si="330"/>
        <v>4.0066022528192775</v>
      </c>
      <c r="CV240" s="775"/>
      <c r="CW240" s="775"/>
      <c r="CX240" s="775"/>
      <c r="CY240" s="775"/>
      <c r="CZ240" s="775"/>
      <c r="DA240" s="775"/>
      <c r="DB240" s="775"/>
      <c r="DC240" s="775"/>
      <c r="DD240" s="775" t="e">
        <f t="shared" si="388"/>
        <v>#DIV/0!</v>
      </c>
      <c r="DE240" s="775" t="e">
        <f t="shared" si="331"/>
        <v>#DIV/0!</v>
      </c>
      <c r="DF240" s="775"/>
      <c r="DG240" s="775">
        <f t="shared" si="389"/>
        <v>0</v>
      </c>
      <c r="DH240" s="673" t="e">
        <f t="shared" si="332"/>
        <v>#DIV/0!</v>
      </c>
      <c r="DI240" s="673">
        <f t="shared" si="333"/>
        <v>19</v>
      </c>
      <c r="DJ240" s="775" t="b">
        <f t="shared" si="334"/>
        <v>1</v>
      </c>
      <c r="DK240" s="673"/>
      <c r="DL240" s="775" t="e">
        <f t="shared" si="335"/>
        <v>#DIV/0!</v>
      </c>
      <c r="DM240" s="775" t="e">
        <f t="shared" si="336"/>
        <v>#DIV/0!</v>
      </c>
      <c r="DN240" s="775" t="e">
        <f t="shared" si="337"/>
        <v>#DIV/0!</v>
      </c>
      <c r="DO240" s="775" t="e">
        <f t="shared" si="338"/>
        <v>#DIV/0!</v>
      </c>
      <c r="DP240" s="775" t="e">
        <f t="shared" si="339"/>
        <v>#DIV/0!</v>
      </c>
      <c r="DQ240" s="775" t="e">
        <f t="shared" si="340"/>
        <v>#DIV/0!</v>
      </c>
      <c r="DR240" s="775" t="e">
        <f t="shared" si="341"/>
        <v>#DIV/0!</v>
      </c>
      <c r="DS240" s="775" t="e">
        <f t="shared" si="342"/>
        <v>#DIV/0!</v>
      </c>
      <c r="DT240" s="775" t="e">
        <f t="shared" si="343"/>
        <v>#DIV/0!</v>
      </c>
      <c r="DU240" s="775" t="e">
        <f t="shared" si="344"/>
        <v>#DIV/0!</v>
      </c>
      <c r="DV240" s="775" t="e">
        <f t="shared" si="345"/>
        <v>#DIV/0!</v>
      </c>
      <c r="DW240" s="775" t="e">
        <f t="shared" si="346"/>
        <v>#DIV/0!</v>
      </c>
      <c r="DX240" s="775" t="e">
        <f t="shared" si="347"/>
        <v>#DIV/0!</v>
      </c>
      <c r="DY240" s="775" t="e">
        <f t="shared" si="348"/>
        <v>#DIV/0!</v>
      </c>
      <c r="DZ240" s="775" t="e">
        <f t="shared" si="349"/>
        <v>#DIV/0!</v>
      </c>
      <c r="EA240" s="775"/>
      <c r="EB240" s="775"/>
      <c r="EC240" s="775"/>
      <c r="ED240" s="775"/>
      <c r="EE240" s="775"/>
      <c r="EF240" s="775" t="b">
        <f t="shared" si="390"/>
        <v>0</v>
      </c>
      <c r="EG240" s="775">
        <f t="shared" si="350"/>
        <v>44.262590098312003</v>
      </c>
      <c r="EH240" s="775">
        <v>100</v>
      </c>
      <c r="EI240" s="775">
        <f t="shared" si="395"/>
        <v>50</v>
      </c>
      <c r="EJ240" s="673">
        <f t="shared" si="351"/>
        <v>5.7374099016879976</v>
      </c>
      <c r="EK240" s="673">
        <f t="shared" si="352"/>
        <v>2.2510196371999172</v>
      </c>
      <c r="EL240" s="775" t="b">
        <f t="shared" si="353"/>
        <v>0</v>
      </c>
      <c r="EM240" s="673"/>
      <c r="EN240" s="775">
        <f t="shared" si="354"/>
        <v>5.7374099016879976</v>
      </c>
      <c r="EO240" s="775">
        <f t="shared" si="355"/>
        <v>2.5997805670030988E-2</v>
      </c>
      <c r="EP240" s="775">
        <f t="shared" si="356"/>
        <v>1.7388359559236597E-3</v>
      </c>
      <c r="EQ240" s="775">
        <f t="shared" si="357"/>
        <v>5.3513721762922799</v>
      </c>
      <c r="ER240" s="775">
        <f t="shared" si="358"/>
        <v>2.6242530208223878</v>
      </c>
      <c r="ES240" s="775">
        <f t="shared" si="359"/>
        <v>4.9807623717518501</v>
      </c>
      <c r="ET240" s="775">
        <f t="shared" si="360"/>
        <v>9.794118237793624</v>
      </c>
      <c r="EU240" s="775">
        <f t="shared" si="361"/>
        <v>2.5922350102850396</v>
      </c>
      <c r="EV240" s="775">
        <f t="shared" si="362"/>
        <v>3.6839532624987661</v>
      </c>
      <c r="EW240" s="775">
        <f t="shared" si="363"/>
        <v>32.497257087538735</v>
      </c>
      <c r="EX240" s="775">
        <f t="shared" si="364"/>
        <v>5.2680174830852282</v>
      </c>
      <c r="EY240" s="775">
        <f t="shared" si="391"/>
        <v>43.66522368880554</v>
      </c>
      <c r="EZ240" s="775">
        <f t="shared" si="365"/>
        <v>19.84782894945706</v>
      </c>
      <c r="FA240" s="775">
        <f t="shared" si="366"/>
        <v>5.7374099016879976</v>
      </c>
      <c r="FB240" s="775">
        <f t="shared" si="367"/>
        <v>4.0066022528192775</v>
      </c>
      <c r="FC240" s="775"/>
      <c r="FD240" s="775"/>
      <c r="FE240" s="775"/>
      <c r="FF240" s="775"/>
      <c r="FG240" s="775"/>
      <c r="FH240" s="775"/>
      <c r="FI240" s="775"/>
      <c r="FJ240" s="775"/>
      <c r="FK240" s="775" t="e">
        <f t="shared" si="392"/>
        <v>#DIV/0!</v>
      </c>
      <c r="FL240" s="775" t="e">
        <f t="shared" si="368"/>
        <v>#DIV/0!</v>
      </c>
      <c r="FM240" s="775">
        <v>100</v>
      </c>
      <c r="FN240" s="775">
        <f t="shared" si="393"/>
        <v>0</v>
      </c>
      <c r="FO240" s="673" t="e">
        <f t="shared" si="312"/>
        <v>#DIV/0!</v>
      </c>
      <c r="FP240" s="673">
        <f t="shared" si="369"/>
        <v>24.403675819467587</v>
      </c>
      <c r="FQ240" s="775" t="b">
        <f t="shared" si="370"/>
        <v>1</v>
      </c>
      <c r="FR240" s="673"/>
      <c r="FS240" s="775" t="e">
        <f t="shared" si="371"/>
        <v>#DIV/0!</v>
      </c>
      <c r="FT240" s="775" t="e">
        <f t="shared" si="372"/>
        <v>#DIV/0!</v>
      </c>
      <c r="FU240" s="775" t="e">
        <f t="shared" si="373"/>
        <v>#DIV/0!</v>
      </c>
      <c r="FV240" s="775" t="e">
        <f t="shared" si="374"/>
        <v>#DIV/0!</v>
      </c>
      <c r="FW240" s="775" t="e">
        <f t="shared" si="375"/>
        <v>#DIV/0!</v>
      </c>
      <c r="FX240" s="775" t="e">
        <f t="shared" si="376"/>
        <v>#DIV/0!</v>
      </c>
      <c r="FY240" s="775" t="e">
        <f t="shared" si="377"/>
        <v>#DIV/0!</v>
      </c>
      <c r="FZ240" s="775" t="e">
        <f t="shared" si="378"/>
        <v>#DIV/0!</v>
      </c>
      <c r="GA240" s="775" t="e">
        <f t="shared" si="379"/>
        <v>#DIV/0!</v>
      </c>
      <c r="GB240" s="775" t="e">
        <f t="shared" si="380"/>
        <v>#DIV/0!</v>
      </c>
      <c r="GC240" s="775" t="e">
        <f t="shared" si="381"/>
        <v>#DIV/0!</v>
      </c>
      <c r="GD240" s="775" t="e">
        <f t="shared" si="382"/>
        <v>#DIV/0!</v>
      </c>
      <c r="GE240" s="775" t="e">
        <f t="shared" si="383"/>
        <v>#DIV/0!</v>
      </c>
      <c r="GF240" s="775" t="e">
        <f t="shared" si="384"/>
        <v>#DIV/0!</v>
      </c>
      <c r="GG240" s="775" t="e">
        <f t="shared" si="385"/>
        <v>#DIV/0!</v>
      </c>
    </row>
    <row r="241" spans="70:189">
      <c r="BR241" s="775"/>
      <c r="BS241" s="775"/>
      <c r="BT241" s="775"/>
      <c r="BU241" s="775"/>
      <c r="BV241" s="775"/>
      <c r="BW241" s="775"/>
      <c r="BX241" s="775"/>
      <c r="BY241" s="775"/>
      <c r="BZ241" s="775"/>
      <c r="CA241" s="775"/>
      <c r="CB241" s="775"/>
      <c r="CC241" s="775"/>
      <c r="CD241" s="775"/>
      <c r="CE241" s="775"/>
      <c r="CF241" s="775"/>
      <c r="CG241" s="775"/>
      <c r="CH241" s="775"/>
      <c r="CI241" s="775"/>
      <c r="CJ241" s="775"/>
      <c r="CK241" s="775"/>
      <c r="CL241" s="775"/>
      <c r="CM241" s="775"/>
      <c r="CN241" s="775"/>
      <c r="CO241" s="775"/>
      <c r="CP241" s="775"/>
      <c r="CQ241" s="775"/>
      <c r="CR241" s="775"/>
      <c r="CS241" s="775"/>
      <c r="CT241" s="775"/>
      <c r="CU241" s="775"/>
      <c r="CV241" s="775"/>
      <c r="CW241" s="775"/>
      <c r="CX241" s="775"/>
      <c r="CY241" s="775"/>
      <c r="CZ241" s="775"/>
      <c r="DA241" s="775"/>
      <c r="DB241" s="775"/>
      <c r="DC241" s="775"/>
      <c r="DD241" s="775"/>
      <c r="DE241" s="775"/>
      <c r="DF241" s="775"/>
      <c r="DG241" s="775"/>
      <c r="DH241" s="775"/>
      <c r="DI241" s="775"/>
      <c r="DJ241" s="775"/>
      <c r="DK241" s="775"/>
      <c r="DL241" s="775"/>
      <c r="DM241" s="775"/>
      <c r="DN241" s="775"/>
      <c r="DO241" s="775"/>
      <c r="DP241" s="775"/>
      <c r="DQ241" s="775"/>
      <c r="DR241" s="775"/>
      <c r="DS241" s="775"/>
      <c r="DT241" s="775"/>
      <c r="DU241" s="775"/>
      <c r="DV241" s="775"/>
      <c r="DW241" s="775"/>
      <c r="DX241" s="775"/>
      <c r="DY241" s="775"/>
      <c r="DZ241" s="775"/>
      <c r="EA241" s="775"/>
      <c r="EB241" s="775"/>
      <c r="EC241" s="775"/>
      <c r="ED241" s="775"/>
      <c r="EE241" s="775"/>
      <c r="EF241" s="775"/>
      <c r="EG241" s="775"/>
      <c r="EH241" s="775"/>
      <c r="EI241" s="775"/>
      <c r="EJ241" s="775"/>
      <c r="EK241" s="775"/>
      <c r="EL241" s="775"/>
      <c r="EM241" s="775"/>
      <c r="EN241" s="775"/>
      <c r="EO241" s="775"/>
      <c r="EP241" s="775"/>
      <c r="EQ241" s="775"/>
      <c r="ER241" s="775"/>
      <c r="ES241" s="775"/>
      <c r="ET241" s="775"/>
      <c r="EU241" s="775"/>
      <c r="EV241" s="775"/>
      <c r="EW241" s="775"/>
      <c r="EX241" s="775"/>
      <c r="EY241" s="775"/>
      <c r="EZ241" s="775"/>
      <c r="FA241" s="775"/>
      <c r="FB241" s="775"/>
      <c r="FC241" s="775"/>
      <c r="FD241" s="775"/>
      <c r="FE241" s="775"/>
      <c r="FF241" s="775"/>
      <c r="FG241" s="775"/>
      <c r="FH241" s="775"/>
      <c r="FI241" s="775"/>
      <c r="FJ241" s="775"/>
      <c r="FK241" s="775"/>
      <c r="FL241" s="775"/>
      <c r="FM241" s="775"/>
      <c r="FN241" s="775"/>
      <c r="FO241" s="775"/>
      <c r="FP241" s="775"/>
      <c r="FQ241" s="775"/>
      <c r="FR241" s="775"/>
      <c r="FS241" s="775"/>
      <c r="FT241" s="775"/>
      <c r="FU241" s="775"/>
      <c r="FV241" s="775"/>
      <c r="FW241" s="775"/>
      <c r="FX241" s="775"/>
      <c r="FY241" s="775"/>
      <c r="FZ241" s="775"/>
      <c r="GA241" s="775"/>
      <c r="GB241" s="775"/>
      <c r="GC241" s="775"/>
      <c r="GD241" s="775"/>
      <c r="GE241" s="775"/>
      <c r="GF241" s="775"/>
      <c r="GG241" s="775"/>
    </row>
    <row r="242" spans="70:189">
      <c r="BR242" s="775"/>
      <c r="BS242" s="775"/>
      <c r="BT242" s="775"/>
      <c r="BU242" s="775"/>
      <c r="BV242" s="775"/>
      <c r="BW242" s="775"/>
      <c r="BX242" s="775"/>
      <c r="BY242" s="775"/>
      <c r="BZ242" s="775"/>
      <c r="CA242" s="775"/>
      <c r="CB242" s="775"/>
      <c r="CC242" s="775"/>
      <c r="CD242" s="775"/>
      <c r="CE242" s="775"/>
      <c r="CF242" s="775"/>
      <c r="CG242" s="775"/>
      <c r="CH242" s="775"/>
      <c r="CI242" s="775"/>
      <c r="CJ242" s="775"/>
      <c r="CK242" s="775"/>
      <c r="CL242" s="775"/>
      <c r="CM242" s="775"/>
      <c r="CN242" s="775"/>
      <c r="CO242" s="775"/>
      <c r="CP242" s="775"/>
      <c r="CQ242" s="775"/>
      <c r="CR242" s="775"/>
      <c r="CS242" s="775"/>
      <c r="CT242" s="775"/>
      <c r="CU242" s="775"/>
      <c r="CV242" s="775"/>
      <c r="CW242" s="775"/>
      <c r="CX242" s="775"/>
      <c r="CY242" s="775"/>
      <c r="CZ242" s="775"/>
      <c r="DA242" s="775"/>
      <c r="DB242" s="775"/>
      <c r="DC242" s="775"/>
      <c r="DD242" s="775"/>
      <c r="DE242" s="775"/>
      <c r="DF242" s="775"/>
      <c r="DG242" s="775"/>
      <c r="DH242" s="775"/>
      <c r="DI242" s="775"/>
      <c r="DJ242" s="775"/>
      <c r="DK242" s="775"/>
      <c r="DL242" s="775"/>
      <c r="DM242" s="775"/>
      <c r="DN242" s="775"/>
      <c r="DO242" s="775"/>
      <c r="DP242" s="775"/>
      <c r="DQ242" s="775"/>
      <c r="DR242" s="775"/>
      <c r="DS242" s="775"/>
      <c r="DT242" s="775"/>
      <c r="DU242" s="775"/>
      <c r="DV242" s="775"/>
      <c r="DW242" s="775"/>
      <c r="DX242" s="775"/>
      <c r="DY242" s="775"/>
      <c r="DZ242" s="775"/>
      <c r="EA242" s="775"/>
      <c r="EB242" s="775"/>
      <c r="EC242" s="775"/>
      <c r="ED242" s="775"/>
      <c r="EE242" s="775"/>
      <c r="EF242" s="775"/>
      <c r="EG242" s="775"/>
      <c r="EH242" s="775"/>
      <c r="EI242" s="775"/>
      <c r="EJ242" s="775"/>
      <c r="EK242" s="775"/>
      <c r="EL242" s="775"/>
      <c r="EM242" s="775"/>
      <c r="EN242" s="775"/>
      <c r="EO242" s="775"/>
      <c r="EP242" s="775"/>
      <c r="EQ242" s="775"/>
      <c r="ER242" s="775"/>
      <c r="ES242" s="775"/>
      <c r="ET242" s="775"/>
      <c r="EU242" s="775"/>
      <c r="EV242" s="775"/>
      <c r="EW242" s="775"/>
      <c r="EX242" s="775"/>
      <c r="EY242" s="775"/>
      <c r="EZ242" s="775"/>
      <c r="FA242" s="775"/>
      <c r="FB242" s="775"/>
      <c r="FC242" s="775"/>
      <c r="FD242" s="775"/>
      <c r="FE242" s="775"/>
      <c r="FF242" s="775"/>
      <c r="FG242" s="775"/>
      <c r="FH242" s="775"/>
      <c r="FI242" s="775"/>
      <c r="FJ242" s="775"/>
      <c r="FK242" s="775"/>
      <c r="FL242" s="775"/>
      <c r="FM242" s="775"/>
      <c r="FN242" s="775"/>
      <c r="FO242" s="775"/>
      <c r="FP242" s="775"/>
      <c r="FQ242" s="775"/>
      <c r="FR242" s="775"/>
      <c r="FS242" s="775"/>
      <c r="FT242" s="775"/>
      <c r="FU242" s="775"/>
      <c r="FV242" s="775"/>
      <c r="FW242" s="775"/>
      <c r="FX242" s="775"/>
      <c r="FY242" s="775"/>
      <c r="FZ242" s="775"/>
      <c r="GA242" s="775"/>
      <c r="GB242" s="775"/>
      <c r="GC242" s="775"/>
      <c r="GD242" s="775"/>
      <c r="GE242" s="775"/>
      <c r="GF242" s="775"/>
      <c r="GG242" s="775"/>
    </row>
    <row r="243" spans="70:189">
      <c r="BR243" s="775"/>
      <c r="BS243" s="775"/>
      <c r="BT243" s="775"/>
      <c r="BU243" s="775"/>
      <c r="BV243" s="775"/>
      <c r="BW243" s="775"/>
      <c r="BX243" s="775"/>
      <c r="BY243" s="775"/>
      <c r="BZ243" s="775"/>
      <c r="CA243" s="775"/>
      <c r="CB243" s="775"/>
      <c r="CC243" s="775"/>
      <c r="CD243" s="775"/>
      <c r="CE243" s="775"/>
      <c r="CF243" s="775"/>
      <c r="CG243" s="775"/>
      <c r="CH243" s="775"/>
      <c r="CI243" s="775"/>
      <c r="CJ243" s="775"/>
      <c r="CK243" s="775"/>
      <c r="CL243" s="775"/>
      <c r="CM243" s="775"/>
      <c r="CN243" s="775"/>
      <c r="CO243" s="775"/>
      <c r="CP243" s="775"/>
      <c r="CQ243" s="775"/>
      <c r="CR243" s="775"/>
      <c r="CS243" s="775"/>
      <c r="CT243" s="775"/>
      <c r="CU243" s="775"/>
      <c r="CV243" s="775"/>
      <c r="CW243" s="775"/>
      <c r="CX243" s="775"/>
      <c r="CY243" s="775"/>
      <c r="CZ243" s="775"/>
      <c r="DA243" s="775"/>
      <c r="DB243" s="775"/>
      <c r="DC243" s="775"/>
      <c r="DD243" s="775"/>
      <c r="DE243" s="775"/>
      <c r="DF243" s="775"/>
      <c r="DG243" s="775"/>
      <c r="DH243" s="775"/>
      <c r="DI243" s="775"/>
      <c r="DJ243" s="775"/>
      <c r="DK243" s="775"/>
      <c r="DL243" s="775"/>
      <c r="DM243" s="775"/>
      <c r="DN243" s="775"/>
      <c r="DO243" s="775"/>
      <c r="DP243" s="775"/>
      <c r="DQ243" s="775"/>
      <c r="DR243" s="775"/>
      <c r="DS243" s="775"/>
      <c r="DT243" s="775"/>
      <c r="DU243" s="775"/>
      <c r="DV243" s="775"/>
      <c r="DW243" s="775"/>
      <c r="DX243" s="775"/>
      <c r="DY243" s="775"/>
      <c r="DZ243" s="775"/>
      <c r="EA243" s="775"/>
      <c r="EB243" s="775"/>
      <c r="EC243" s="775"/>
      <c r="ED243" s="775"/>
      <c r="EE243" s="775"/>
      <c r="EF243" s="775"/>
      <c r="EG243" s="775"/>
      <c r="EH243" s="775"/>
      <c r="EI243" s="775"/>
      <c r="EJ243" s="775"/>
      <c r="EK243" s="775"/>
      <c r="EL243" s="775"/>
      <c r="EM243" s="775"/>
      <c r="EN243" s="775"/>
      <c r="EO243" s="775"/>
      <c r="EP243" s="775"/>
      <c r="EQ243" s="775"/>
      <c r="ER243" s="775"/>
      <c r="ES243" s="775"/>
      <c r="ET243" s="775"/>
      <c r="EU243" s="775"/>
      <c r="EV243" s="775"/>
      <c r="EW243" s="775"/>
      <c r="EX243" s="775"/>
      <c r="EY243" s="775"/>
      <c r="EZ243" s="775"/>
      <c r="FA243" s="775"/>
      <c r="FB243" s="775"/>
      <c r="FC243" s="775"/>
      <c r="FD243" s="775"/>
      <c r="FE243" s="775"/>
      <c r="FF243" s="775"/>
      <c r="FG243" s="775"/>
      <c r="FH243" s="775"/>
      <c r="FI243" s="775"/>
      <c r="FJ243" s="775"/>
      <c r="FK243" s="775"/>
      <c r="FL243" s="775"/>
      <c r="FM243" s="775"/>
      <c r="FN243" s="775"/>
      <c r="FO243" s="775"/>
      <c r="FP243" s="775"/>
      <c r="FQ243" s="775"/>
      <c r="FR243" s="775"/>
      <c r="FS243" s="775"/>
      <c r="FT243" s="775"/>
      <c r="FU243" s="775"/>
      <c r="FV243" s="775"/>
      <c r="FW243" s="775"/>
      <c r="FX243" s="775"/>
      <c r="FY243" s="775"/>
      <c r="FZ243" s="775"/>
      <c r="GA243" s="775"/>
      <c r="GB243" s="775"/>
      <c r="GC243" s="775"/>
      <c r="GD243" s="775"/>
      <c r="GE243" s="775"/>
      <c r="GF243" s="775"/>
      <c r="GG243" s="775"/>
    </row>
    <row r="245" spans="70:189">
      <c r="BR245" s="775"/>
      <c r="BS245" s="56" t="s">
        <v>508</v>
      </c>
      <c r="BT245" s="56" t="s">
        <v>509</v>
      </c>
      <c r="BU245" s="56" t="s">
        <v>510</v>
      </c>
      <c r="BV245" s="56" t="s">
        <v>511</v>
      </c>
      <c r="BW245" s="56" t="s">
        <v>512</v>
      </c>
      <c r="BX245" s="775"/>
      <c r="BY245" s="775"/>
      <c r="BZ245" s="775"/>
      <c r="CA245" s="775"/>
      <c r="CB245" s="775"/>
      <c r="CC245" s="775"/>
      <c r="CD245" s="775"/>
      <c r="CE245" s="775"/>
      <c r="CF245" s="775"/>
      <c r="CG245" s="775"/>
      <c r="CH245" s="775"/>
      <c r="CI245" s="775"/>
      <c r="CJ245" s="775"/>
      <c r="CK245" s="775"/>
      <c r="CL245" s="775"/>
      <c r="CM245" s="775"/>
      <c r="CN245" s="775"/>
      <c r="CO245" s="775"/>
      <c r="CP245" s="775"/>
      <c r="CQ245" s="775"/>
      <c r="CR245" s="775"/>
      <c r="CS245" s="775"/>
      <c r="CT245" s="775"/>
      <c r="CU245" s="775"/>
      <c r="CV245" s="775"/>
      <c r="CW245" s="775"/>
      <c r="CX245" s="775"/>
      <c r="CY245" s="775"/>
      <c r="CZ245" s="775"/>
      <c r="DA245" s="775"/>
      <c r="DB245" s="775"/>
      <c r="DC245" s="775"/>
      <c r="DD245" s="775"/>
      <c r="DE245" s="775"/>
      <c r="DF245" s="775"/>
      <c r="DG245" s="775"/>
      <c r="DH245" s="775"/>
      <c r="DI245" s="775"/>
      <c r="DJ245" s="775"/>
      <c r="DK245" s="775"/>
      <c r="DL245" s="775"/>
      <c r="DM245" s="775"/>
      <c r="DN245" s="775"/>
      <c r="DO245" s="775"/>
      <c r="DP245" s="775"/>
      <c r="DQ245" s="775"/>
      <c r="DR245" s="775"/>
      <c r="DS245" s="775"/>
      <c r="DT245" s="775"/>
      <c r="DU245" s="775"/>
      <c r="DV245" s="775"/>
      <c r="DW245" s="775"/>
      <c r="DX245" s="775"/>
      <c r="DY245" s="775"/>
      <c r="DZ245" s="775"/>
      <c r="EA245" s="775"/>
      <c r="EB245" s="775"/>
      <c r="EC245" s="775"/>
      <c r="ED245" s="775"/>
      <c r="EE245" s="775"/>
      <c r="EF245" s="775"/>
      <c r="EG245" s="775"/>
      <c r="EH245" s="775"/>
      <c r="EI245" s="775"/>
      <c r="EJ245" s="775"/>
      <c r="EK245" s="775"/>
      <c r="EL245" s="775"/>
      <c r="EM245" s="775"/>
      <c r="EN245" s="775"/>
      <c r="EO245" s="775"/>
      <c r="EP245" s="775"/>
      <c r="EQ245" s="775"/>
      <c r="ER245" s="775"/>
      <c r="ES245" s="775"/>
      <c r="ET245" s="775"/>
      <c r="EU245" s="775"/>
      <c r="EV245" s="775"/>
      <c r="EW245" s="775"/>
      <c r="EX245" s="775"/>
      <c r="EY245" s="775"/>
      <c r="EZ245" s="775"/>
      <c r="FA245" s="775"/>
      <c r="FB245" s="775"/>
      <c r="FC245" s="775"/>
      <c r="FD245" s="775"/>
      <c r="FE245" s="775"/>
      <c r="FF245" s="775"/>
      <c r="FG245" s="775"/>
      <c r="FH245" s="775"/>
      <c r="FI245" s="775"/>
      <c r="FJ245" s="775"/>
      <c r="FK245" s="775"/>
      <c r="FL245" s="775"/>
      <c r="FM245" s="775"/>
      <c r="FN245" s="775"/>
      <c r="FO245" s="775"/>
      <c r="FP245" s="775"/>
      <c r="FQ245" s="775"/>
      <c r="FR245" s="775"/>
      <c r="FS245" s="775"/>
      <c r="FT245" s="775"/>
      <c r="FU245" s="775"/>
      <c r="FV245" s="775"/>
      <c r="FW245" s="775"/>
      <c r="FX245" s="775"/>
      <c r="FY245" s="775"/>
      <c r="FZ245" s="775"/>
      <c r="GA245" s="775"/>
      <c r="GB245" s="775"/>
      <c r="GC245" s="775"/>
      <c r="GD245" s="775"/>
      <c r="GE245" s="775"/>
      <c r="GF245" s="775"/>
      <c r="GG245" s="775"/>
    </row>
    <row r="246" spans="70:189">
      <c r="BR246" s="775"/>
      <c r="BS246" s="36">
        <f>'Quick Calculator'!AF265</f>
        <v>0</v>
      </c>
      <c r="BT246" s="36">
        <f>'Quick Calculator'!AF266</f>
        <v>0</v>
      </c>
      <c r="BU246" s="36">
        <f>'Quick Calculator'!AF267</f>
        <v>0</v>
      </c>
      <c r="BV246" s="36">
        <f>'Quick Calculator'!AF268</f>
        <v>0</v>
      </c>
      <c r="BW246" s="36">
        <f>'Quick Calculator'!AF269</f>
        <v>0</v>
      </c>
      <c r="BX246" s="775"/>
      <c r="BY246" s="775"/>
      <c r="BZ246" s="775"/>
      <c r="CA246" s="775"/>
      <c r="CB246" s="775" t="s">
        <v>1610</v>
      </c>
      <c r="CC246" s="775"/>
      <c r="CD246" s="775"/>
      <c r="CE246" s="775"/>
      <c r="CF246" s="775"/>
      <c r="CG246" s="775"/>
      <c r="CH246" s="775"/>
      <c r="CI246" s="775"/>
      <c r="CJ246" s="775"/>
      <c r="CK246" s="775"/>
      <c r="CL246" s="775"/>
      <c r="CM246" s="775"/>
      <c r="CN246" s="775"/>
      <c r="CO246" s="775"/>
      <c r="CP246" s="775"/>
      <c r="CQ246" s="775"/>
      <c r="CR246" s="775"/>
      <c r="CS246" s="775"/>
      <c r="CT246" s="775"/>
      <c r="CU246" s="775"/>
      <c r="CV246" s="775"/>
      <c r="CW246" s="775"/>
      <c r="CX246" s="775"/>
      <c r="CY246" s="775"/>
      <c r="CZ246" s="775"/>
      <c r="DA246" s="775"/>
      <c r="DB246" s="775"/>
      <c r="DC246" s="775"/>
      <c r="DD246" s="775"/>
      <c r="DE246" s="775"/>
      <c r="DF246" s="775"/>
      <c r="DG246" s="775"/>
      <c r="DH246" s="775"/>
      <c r="DI246" s="775"/>
      <c r="DJ246" s="775"/>
      <c r="DK246" s="775"/>
      <c r="DL246" s="775"/>
      <c r="DM246" s="775"/>
      <c r="DN246" s="775"/>
      <c r="DO246" s="775"/>
      <c r="DP246" s="775"/>
      <c r="DQ246" s="775"/>
      <c r="DR246" s="775"/>
      <c r="DS246" s="775"/>
      <c r="DT246" s="775"/>
      <c r="DU246" s="775"/>
      <c r="DV246" s="775"/>
      <c r="DW246" s="775"/>
      <c r="DX246" s="775"/>
      <c r="DY246" s="775"/>
      <c r="DZ246" s="775"/>
      <c r="EA246" s="775"/>
      <c r="EB246" s="775"/>
      <c r="EC246" s="775"/>
      <c r="ED246" s="775"/>
      <c r="EE246" s="775"/>
      <c r="EF246" s="775"/>
      <c r="EG246" s="775"/>
      <c r="EH246" s="775"/>
      <c r="EI246" s="775"/>
      <c r="EJ246" s="775"/>
      <c r="EK246" s="775"/>
      <c r="EL246" s="775"/>
      <c r="EM246" s="775"/>
      <c r="EN246" s="775"/>
      <c r="EO246" s="775"/>
      <c r="EP246" s="775"/>
      <c r="EQ246" s="775"/>
      <c r="ER246" s="775"/>
      <c r="ES246" s="775"/>
      <c r="ET246" s="775"/>
      <c r="EU246" s="775"/>
      <c r="EV246" s="775"/>
      <c r="EW246" s="775"/>
      <c r="EX246" s="775"/>
      <c r="EY246" s="775"/>
      <c r="EZ246" s="775"/>
      <c r="FA246" s="775"/>
      <c r="FB246" s="775"/>
      <c r="FC246" s="775"/>
      <c r="FD246" s="775"/>
      <c r="FE246" s="775"/>
      <c r="FF246" s="775"/>
      <c r="FG246" s="775"/>
      <c r="FH246" s="775"/>
      <c r="FI246" s="775"/>
      <c r="FJ246" s="775"/>
      <c r="FK246" s="775"/>
      <c r="FL246" s="775"/>
      <c r="FM246" s="775"/>
      <c r="FN246" s="775"/>
      <c r="FO246" s="775"/>
      <c r="FP246" s="775"/>
      <c r="FQ246" s="775"/>
      <c r="FR246" s="775"/>
      <c r="FS246" s="775"/>
      <c r="FT246" s="775"/>
      <c r="FU246" s="775"/>
      <c r="FV246" s="775"/>
      <c r="FW246" s="775"/>
      <c r="FX246" s="775"/>
      <c r="FY246" s="775"/>
      <c r="FZ246" s="775"/>
      <c r="GA246" s="775"/>
      <c r="GB246" s="775"/>
      <c r="GC246" s="775"/>
      <c r="GD246" s="775"/>
      <c r="GE246" s="775"/>
      <c r="GF246" s="775"/>
      <c r="GG246" s="775"/>
    </row>
    <row r="247" spans="70:189">
      <c r="BR247" s="775"/>
      <c r="BS247" s="36">
        <f>'Quick Calculator'!AG265</f>
        <v>0</v>
      </c>
      <c r="BT247" s="36">
        <f>'Quick Calculator'!AG266</f>
        <v>0</v>
      </c>
      <c r="BU247" s="36">
        <f>'Quick Calculator'!AG267</f>
        <v>0</v>
      </c>
      <c r="BV247" s="36">
        <f>'Quick Calculator'!AG268</f>
        <v>0</v>
      </c>
      <c r="BW247" s="36">
        <f>'Quick Calculator'!AG269</f>
        <v>0</v>
      </c>
      <c r="BX247" s="775"/>
      <c r="BY247" s="775"/>
      <c r="BZ247" s="775"/>
      <c r="CA247" s="775"/>
      <c r="CB247" s="775"/>
      <c r="CC247" s="775" t="s">
        <v>1595</v>
      </c>
      <c r="CD247" s="775"/>
      <c r="CE247" s="775"/>
      <c r="CF247" s="775"/>
      <c r="CG247" s="775"/>
      <c r="CH247" s="775"/>
      <c r="CI247" s="775"/>
      <c r="CJ247" s="775"/>
      <c r="CK247" s="775"/>
      <c r="CL247" s="775"/>
      <c r="CM247" s="775"/>
      <c r="CN247" s="775"/>
      <c r="CO247" s="775"/>
      <c r="CP247" s="775"/>
      <c r="CQ247" s="775"/>
      <c r="CR247" s="775"/>
      <c r="CS247" s="775"/>
      <c r="CT247" s="775"/>
      <c r="CU247" s="775"/>
      <c r="CV247" s="775"/>
      <c r="CW247" s="775" t="s">
        <v>1603</v>
      </c>
      <c r="CX247" s="775"/>
      <c r="CY247" s="775"/>
      <c r="CZ247" s="775"/>
      <c r="DA247" s="775"/>
      <c r="DB247" s="775"/>
      <c r="DC247" s="775"/>
      <c r="DD247" s="775"/>
      <c r="DE247" s="775"/>
      <c r="DF247" s="775"/>
      <c r="DG247" s="775"/>
      <c r="DH247" s="775"/>
      <c r="DI247" s="775"/>
      <c r="DJ247" s="775"/>
      <c r="DK247" s="775"/>
      <c r="DL247" s="775"/>
      <c r="DM247" s="775"/>
      <c r="DN247" s="775"/>
      <c r="DO247" s="775"/>
      <c r="DP247" s="775"/>
      <c r="DQ247" s="775"/>
      <c r="DR247" s="775"/>
      <c r="DS247" s="775"/>
      <c r="DT247" s="775"/>
      <c r="DU247" s="775"/>
      <c r="DV247" s="775"/>
      <c r="DW247" s="775"/>
      <c r="DX247" s="775"/>
      <c r="DY247" s="775"/>
      <c r="DZ247" s="775"/>
      <c r="EA247" s="775"/>
      <c r="EB247" s="775"/>
      <c r="EC247" s="775"/>
      <c r="ED247" s="775"/>
      <c r="EE247" s="775"/>
      <c r="EF247" s="775"/>
      <c r="EG247" s="775"/>
      <c r="EH247" s="775"/>
      <c r="EI247" s="775"/>
      <c r="EJ247" s="775"/>
      <c r="EK247" s="775"/>
      <c r="EL247" s="775"/>
      <c r="EM247" s="775"/>
      <c r="EN247" s="775"/>
      <c r="EO247" s="775"/>
      <c r="EP247" s="775"/>
      <c r="EQ247" s="775"/>
      <c r="ER247" s="775"/>
      <c r="ES247" s="775"/>
      <c r="ET247" s="775"/>
      <c r="EU247" s="775"/>
      <c r="EV247" s="775"/>
      <c r="EW247" s="775"/>
      <c r="EX247" s="775"/>
      <c r="EY247" s="775"/>
      <c r="EZ247" s="775"/>
      <c r="FA247" s="775"/>
      <c r="FB247" s="775"/>
      <c r="FC247" s="775"/>
      <c r="FD247" s="775"/>
      <c r="FE247" s="775"/>
      <c r="FF247" s="775"/>
      <c r="FG247" s="775"/>
      <c r="FH247" s="775"/>
      <c r="FI247" s="775"/>
      <c r="FJ247" s="775"/>
      <c r="FK247" s="775"/>
      <c r="FL247" s="775"/>
      <c r="FM247" s="775"/>
      <c r="FN247" s="775"/>
      <c r="FO247" s="775"/>
      <c r="FP247" s="775"/>
      <c r="FQ247" s="775"/>
      <c r="FR247" s="775"/>
      <c r="FS247" s="775"/>
      <c r="FT247" s="775"/>
      <c r="FU247" s="775"/>
      <c r="FV247" s="775"/>
      <c r="FW247" s="775"/>
      <c r="FX247" s="775"/>
      <c r="FY247" s="775"/>
      <c r="FZ247" s="775"/>
      <c r="GA247" s="775"/>
      <c r="GB247" s="775"/>
      <c r="GC247" s="775"/>
      <c r="GD247" s="775"/>
      <c r="GE247" s="775"/>
      <c r="GF247" s="775"/>
      <c r="GG247" s="775"/>
    </row>
    <row r="248" spans="70:189">
      <c r="BR248" s="775"/>
      <c r="BS248" s="36">
        <f>'Quick Calculator'!AH265</f>
        <v>0</v>
      </c>
      <c r="BT248" s="36">
        <f>'Quick Calculator'!AH266</f>
        <v>0</v>
      </c>
      <c r="BU248" s="36">
        <f>'Quick Calculator'!AH267</f>
        <v>0</v>
      </c>
      <c r="BV248" s="36">
        <f>'Quick Calculator'!AH268</f>
        <v>0</v>
      </c>
      <c r="BW248" s="36">
        <f>'Quick Calculator'!AH269</f>
        <v>0</v>
      </c>
      <c r="BX248" s="775"/>
      <c r="BY248" s="775"/>
      <c r="BZ248" s="775"/>
      <c r="CA248" s="775"/>
      <c r="CB248" s="775"/>
      <c r="CC248" s="775"/>
      <c r="CD248" s="775"/>
      <c r="CE248" s="775"/>
      <c r="CF248" s="775"/>
      <c r="CG248" s="775"/>
      <c r="CH248" s="775"/>
      <c r="CI248" s="775"/>
      <c r="CJ248" s="775"/>
      <c r="CK248" s="775"/>
      <c r="CL248" s="775"/>
      <c r="CM248" s="775"/>
      <c r="CN248" s="775"/>
      <c r="CO248" s="775"/>
      <c r="CP248" s="775"/>
      <c r="CQ248" s="775"/>
      <c r="CR248" s="775"/>
      <c r="CS248" s="775"/>
      <c r="CT248" s="775"/>
      <c r="CU248" s="775"/>
      <c r="CV248" s="775"/>
      <c r="CW248" s="775" t="s">
        <v>1604</v>
      </c>
      <c r="CX248" s="775" t="s">
        <v>1605</v>
      </c>
      <c r="CY248" s="775"/>
      <c r="CZ248" s="775"/>
      <c r="DA248" s="775"/>
      <c r="DB248" s="775"/>
      <c r="DC248" s="775"/>
      <c r="DD248" s="775"/>
      <c r="DE248" s="775"/>
      <c r="DF248" s="775"/>
      <c r="DG248" s="775"/>
      <c r="DH248" s="775"/>
      <c r="DI248" s="775"/>
      <c r="DJ248" s="775"/>
      <c r="DK248" s="775"/>
      <c r="DL248" s="775"/>
      <c r="DM248" s="775"/>
      <c r="DN248" s="775"/>
      <c r="DO248" s="775"/>
      <c r="DP248" s="775"/>
      <c r="DQ248" s="775"/>
      <c r="DR248" s="775"/>
      <c r="DS248" s="775"/>
      <c r="DT248" s="775"/>
      <c r="DU248" s="775"/>
      <c r="DV248" s="775"/>
      <c r="DW248" s="775"/>
      <c r="DX248" s="775"/>
      <c r="DY248" s="775"/>
      <c r="DZ248" s="775"/>
      <c r="EA248" s="775"/>
      <c r="EB248" s="775"/>
      <c r="EC248" s="775"/>
      <c r="ED248" s="775"/>
      <c r="EE248" s="775"/>
      <c r="EF248" s="775"/>
      <c r="EG248" s="775"/>
      <c r="EH248" s="775"/>
      <c r="EI248" s="775"/>
      <c r="EJ248" s="775"/>
      <c r="EK248" s="775"/>
      <c r="EL248" s="775"/>
      <c r="EM248" s="775"/>
      <c r="EN248" s="775"/>
      <c r="EO248" s="775"/>
      <c r="EP248" s="775"/>
      <c r="EQ248" s="775"/>
      <c r="ER248" s="775"/>
      <c r="ES248" s="775"/>
      <c r="ET248" s="775"/>
      <c r="EU248" s="775"/>
      <c r="EV248" s="775"/>
      <c r="EW248" s="775"/>
      <c r="EX248" s="775"/>
      <c r="EY248" s="775"/>
      <c r="EZ248" s="775"/>
      <c r="FA248" s="775"/>
      <c r="FB248" s="775"/>
      <c r="FC248" s="775"/>
      <c r="FD248" s="775"/>
      <c r="FE248" s="775"/>
      <c r="FF248" s="775"/>
      <c r="FG248" s="775"/>
      <c r="FH248" s="775"/>
      <c r="FI248" s="775"/>
      <c r="FJ248" s="775"/>
      <c r="FK248" s="775"/>
      <c r="FL248" s="775"/>
      <c r="FM248" s="775"/>
      <c r="FN248" s="775"/>
      <c r="FO248" s="775"/>
      <c r="FP248" s="775"/>
      <c r="FQ248" s="775"/>
      <c r="FR248" s="775"/>
      <c r="FS248" s="775"/>
      <c r="FT248" s="775"/>
      <c r="FU248" s="775"/>
      <c r="FV248" s="775"/>
      <c r="FW248" s="775"/>
      <c r="FX248" s="775"/>
      <c r="FY248" s="775"/>
      <c r="FZ248" s="775"/>
      <c r="GA248" s="775"/>
      <c r="GB248" s="775"/>
      <c r="GC248" s="775"/>
      <c r="GD248" s="775"/>
      <c r="GE248" s="775"/>
      <c r="GF248" s="775"/>
      <c r="GG248" s="775"/>
    </row>
    <row r="249" spans="70:189">
      <c r="BR249" s="775"/>
      <c r="BS249" s="36">
        <f>'Quick Calculator'!AI265</f>
        <v>0</v>
      </c>
      <c r="BT249" s="36">
        <f>'Quick Calculator'!AI266</f>
        <v>0</v>
      </c>
      <c r="BU249" s="36">
        <f>'Quick Calculator'!AI267</f>
        <v>0</v>
      </c>
      <c r="BV249" s="36">
        <f>'Quick Calculator'!AI268</f>
        <v>0</v>
      </c>
      <c r="BW249" s="36">
        <f>'Quick Calculator'!AI269</f>
        <v>0</v>
      </c>
      <c r="BX249" s="775"/>
      <c r="BY249" s="775"/>
      <c r="BZ249" s="775"/>
      <c r="CA249" s="775"/>
      <c r="CB249" s="775">
        <v>8</v>
      </c>
      <c r="CC249" s="775">
        <v>23.7</v>
      </c>
      <c r="CD249" s="775" t="s">
        <v>1596</v>
      </c>
      <c r="CE249" s="775"/>
      <c r="CF249" s="775"/>
      <c r="CG249" s="775"/>
      <c r="CH249" s="775"/>
      <c r="CI249" s="775"/>
      <c r="CJ249" s="775"/>
      <c r="CK249" s="775"/>
      <c r="CL249" s="775"/>
      <c r="CM249" s="775"/>
      <c r="CN249" s="775"/>
      <c r="CO249" s="775"/>
      <c r="CP249" s="775"/>
      <c r="CQ249" s="775"/>
      <c r="CR249" s="775"/>
      <c r="CS249" s="775"/>
      <c r="CT249" s="775"/>
      <c r="CU249" s="775"/>
      <c r="CV249" s="775"/>
      <c r="CW249" s="775" t="s">
        <v>1606</v>
      </c>
      <c r="CX249" s="775"/>
      <c r="CY249" s="775"/>
      <c r="CZ249" s="775"/>
      <c r="DA249" s="775"/>
      <c r="DB249" s="775"/>
      <c r="DC249" s="775"/>
      <c r="DD249" s="775"/>
      <c r="DE249" s="775"/>
      <c r="DF249" s="775"/>
      <c r="DG249" s="775"/>
      <c r="DH249" s="775"/>
      <c r="DI249" s="775"/>
      <c r="DJ249" s="775"/>
      <c r="DK249" s="775"/>
      <c r="DL249" s="775"/>
      <c r="DM249" s="775"/>
      <c r="DN249" s="775"/>
      <c r="DO249" s="775"/>
      <c r="DP249" s="775"/>
      <c r="DQ249" s="775"/>
      <c r="DR249" s="775"/>
      <c r="DS249" s="775"/>
      <c r="DT249" s="775"/>
      <c r="DU249" s="775"/>
      <c r="DV249" s="775"/>
      <c r="DW249" s="775"/>
      <c r="DX249" s="775"/>
      <c r="DY249" s="775"/>
      <c r="DZ249" s="775"/>
      <c r="EA249" s="775"/>
      <c r="EB249" s="775"/>
      <c r="EC249" s="775"/>
      <c r="ED249" s="775"/>
      <c r="EE249" s="775"/>
      <c r="EF249" s="775"/>
      <c r="EG249" s="775"/>
      <c r="EH249" s="775"/>
      <c r="EI249" s="775"/>
      <c r="EJ249" s="775"/>
      <c r="EK249" s="775"/>
      <c r="EL249" s="775"/>
      <c r="EM249" s="775"/>
      <c r="EN249" s="775"/>
      <c r="EO249" s="775"/>
      <c r="EP249" s="775"/>
      <c r="EQ249" s="775"/>
      <c r="ER249" s="775"/>
      <c r="ES249" s="775"/>
      <c r="ET249" s="775"/>
      <c r="EU249" s="775"/>
      <c r="EV249" s="775"/>
      <c r="EW249" s="775"/>
      <c r="EX249" s="775"/>
      <c r="EY249" s="775"/>
      <c r="EZ249" s="775"/>
      <c r="FA249" s="775"/>
      <c r="FB249" s="775"/>
      <c r="FC249" s="775"/>
      <c r="FD249" s="775"/>
      <c r="FE249" s="775"/>
      <c r="FF249" s="775"/>
      <c r="FG249" s="775"/>
      <c r="FH249" s="775"/>
      <c r="FI249" s="775"/>
      <c r="FJ249" s="775"/>
      <c r="FK249" s="775"/>
      <c r="FL249" s="775"/>
      <c r="FM249" s="775"/>
      <c r="FN249" s="775"/>
      <c r="FO249" s="775"/>
      <c r="FP249" s="775"/>
      <c r="FQ249" s="775"/>
      <c r="FR249" s="775"/>
      <c r="FS249" s="775"/>
      <c r="FT249" s="775"/>
      <c r="FU249" s="775"/>
      <c r="FV249" s="775"/>
      <c r="FW249" s="775"/>
      <c r="FX249" s="775"/>
      <c r="FY249" s="775"/>
      <c r="FZ249" s="775"/>
      <c r="GA249" s="775"/>
      <c r="GB249" s="775"/>
      <c r="GC249" s="775"/>
      <c r="GD249" s="775"/>
      <c r="GE249" s="775"/>
      <c r="GF249" s="775"/>
      <c r="GG249" s="775"/>
    </row>
    <row r="250" spans="70:189">
      <c r="BR250" s="775"/>
      <c r="BS250" s="775">
        <f>'Quick Calculator'!I255</f>
        <v>0</v>
      </c>
      <c r="BT250" s="775">
        <f>'Quick Calculator'!I256</f>
        <v>0</v>
      </c>
      <c r="BU250" s="775">
        <f>'Quick Calculator'!I257</f>
        <v>0</v>
      </c>
      <c r="BV250" s="775">
        <f>'Quick Calculator'!I258</f>
        <v>0</v>
      </c>
      <c r="BW250" s="775">
        <f>'Quick Calculator'!I259</f>
        <v>0</v>
      </c>
      <c r="BX250" s="775"/>
      <c r="BY250" s="775"/>
      <c r="BZ250" s="775"/>
      <c r="CA250" s="775">
        <v>1</v>
      </c>
      <c r="CB250" s="775" t="s">
        <v>1597</v>
      </c>
      <c r="CC250" s="775" t="s">
        <v>1598</v>
      </c>
      <c r="CD250" s="775"/>
      <c r="CE250" s="775" t="s">
        <v>110</v>
      </c>
      <c r="CF250" s="775"/>
      <c r="CG250" s="775"/>
      <c r="CH250" s="775"/>
      <c r="CI250" s="775"/>
      <c r="CJ250" s="775"/>
      <c r="CK250" s="775"/>
      <c r="CL250" s="775"/>
      <c r="CM250" s="775"/>
      <c r="CN250" s="775"/>
      <c r="CO250" s="775"/>
      <c r="CP250" s="775"/>
      <c r="CQ250" s="775"/>
      <c r="CR250" s="775"/>
      <c r="CS250" s="775"/>
      <c r="CT250" s="775"/>
      <c r="CU250" s="775"/>
      <c r="CV250" s="775"/>
      <c r="CW250" s="775" t="s">
        <v>1607</v>
      </c>
      <c r="CX250" s="775"/>
      <c r="CY250" s="775"/>
      <c r="CZ250" s="775"/>
      <c r="DA250" s="775"/>
      <c r="DB250" s="775"/>
      <c r="DC250" s="775"/>
      <c r="DD250" s="775" t="s">
        <v>1662</v>
      </c>
      <c r="DE250" s="775"/>
      <c r="DF250" s="775"/>
      <c r="DG250" s="775"/>
      <c r="DH250" s="775"/>
      <c r="DI250" s="775"/>
      <c r="DJ250" s="775"/>
      <c r="DK250" s="775"/>
      <c r="DL250" s="775"/>
      <c r="DM250" s="775"/>
      <c r="DN250" s="775"/>
      <c r="DO250" s="775"/>
      <c r="DP250" s="775"/>
      <c r="DQ250" s="775"/>
      <c r="DR250" s="775"/>
      <c r="DS250" s="775"/>
      <c r="DT250" s="775"/>
      <c r="DU250" s="775"/>
      <c r="DV250" s="775"/>
      <c r="DW250" s="775"/>
      <c r="DX250" s="775"/>
      <c r="DY250" s="775"/>
      <c r="DZ250" s="775"/>
      <c r="EA250" s="775"/>
      <c r="EB250" s="775"/>
      <c r="EC250" s="775"/>
      <c r="ED250" s="775"/>
      <c r="EE250" s="775"/>
      <c r="EF250" s="775"/>
      <c r="EG250" s="775"/>
      <c r="EH250" s="775"/>
      <c r="EI250" s="775"/>
      <c r="EJ250" s="775"/>
      <c r="EK250" s="775"/>
      <c r="EL250" s="775"/>
      <c r="EM250" s="775"/>
      <c r="EN250" s="775"/>
      <c r="EO250" s="775"/>
      <c r="EP250" s="775"/>
      <c r="EQ250" s="775"/>
      <c r="ER250" s="775"/>
      <c r="ES250" s="775"/>
      <c r="ET250" s="775"/>
      <c r="EU250" s="775"/>
      <c r="EV250" s="775"/>
      <c r="EW250" s="775"/>
      <c r="EX250" s="775"/>
      <c r="EY250" s="775"/>
      <c r="EZ250" s="775"/>
      <c r="FA250" s="775"/>
      <c r="FB250" s="775"/>
      <c r="FC250" s="775"/>
      <c r="FD250" s="775"/>
      <c r="FE250" s="775"/>
      <c r="FF250" s="775"/>
      <c r="FG250" s="775"/>
      <c r="FH250" s="775"/>
      <c r="FI250" s="775"/>
      <c r="FJ250" s="775"/>
      <c r="FK250" s="775"/>
      <c r="FL250" s="775"/>
      <c r="FM250" s="775"/>
      <c r="FN250" s="775"/>
      <c r="FO250" s="775"/>
      <c r="FP250" s="775"/>
      <c r="FQ250" s="775"/>
      <c r="FR250" s="775"/>
      <c r="FS250" s="775"/>
      <c r="FT250" s="775"/>
      <c r="FU250" s="775"/>
      <c r="FV250" s="775"/>
      <c r="FW250" s="775"/>
      <c r="FX250" s="775"/>
      <c r="FY250" s="775"/>
      <c r="FZ250" s="775"/>
      <c r="GA250" s="775"/>
      <c r="GB250" s="775"/>
      <c r="GC250" s="775"/>
      <c r="GD250" s="775"/>
      <c r="GE250" s="775"/>
      <c r="GF250" s="775"/>
      <c r="GG250" s="775"/>
    </row>
    <row r="251" spans="70:189">
      <c r="BR251" s="775"/>
      <c r="BS251" s="775">
        <f>'Quick Calculator'!J255</f>
        <v>0</v>
      </c>
      <c r="BT251" s="775">
        <f>'Quick Calculator'!J256</f>
        <v>0</v>
      </c>
      <c r="BU251" s="775">
        <f>'Quick Calculator'!J257</f>
        <v>0</v>
      </c>
      <c r="BV251" s="775">
        <f>'Quick Calculator'!J258</f>
        <v>0</v>
      </c>
      <c r="BW251" s="775">
        <f>'Quick Calculator'!J259</f>
        <v>0</v>
      </c>
      <c r="BX251" s="775"/>
      <c r="BY251" s="775"/>
      <c r="BZ251" s="775"/>
      <c r="CA251" s="775">
        <v>2</v>
      </c>
      <c r="CB251" s="775" t="s">
        <v>1599</v>
      </c>
      <c r="CC251" s="775"/>
      <c r="CD251" s="775" t="s">
        <v>1600</v>
      </c>
      <c r="CE251" s="775" t="s">
        <v>1601</v>
      </c>
      <c r="CF251" s="775"/>
      <c r="CG251" s="775"/>
      <c r="CH251" s="775"/>
      <c r="CI251" s="775"/>
      <c r="CJ251" s="775"/>
      <c r="CK251" s="775"/>
      <c r="CL251" s="775"/>
      <c r="CM251" s="775"/>
      <c r="CN251" s="775"/>
      <c r="CO251" s="775"/>
      <c r="CP251" s="775"/>
      <c r="CQ251" s="775"/>
      <c r="CR251" s="775"/>
      <c r="CS251" s="775"/>
      <c r="CT251" s="775"/>
      <c r="CU251" s="775"/>
      <c r="CV251" s="775"/>
      <c r="CW251" s="775" t="s">
        <v>1608</v>
      </c>
      <c r="CX251" s="775"/>
      <c r="CY251" s="775" t="s">
        <v>1609</v>
      </c>
      <c r="CZ251" s="775"/>
      <c r="DA251" s="775"/>
      <c r="DB251" s="775"/>
      <c r="DC251" s="775"/>
      <c r="DD251" s="775" t="s">
        <v>1649</v>
      </c>
      <c r="DE251" s="775"/>
      <c r="DF251" s="775"/>
      <c r="DG251" s="775"/>
      <c r="DH251" s="775">
        <f>AP11</f>
        <v>3</v>
      </c>
      <c r="DI251" s="775"/>
      <c r="DJ251" s="775"/>
      <c r="DK251" s="775"/>
      <c r="DL251" s="775"/>
      <c r="DM251" s="775"/>
      <c r="DN251" s="775"/>
      <c r="DO251" s="775"/>
      <c r="DP251" s="775"/>
      <c r="DQ251" s="775"/>
      <c r="DR251" s="775"/>
      <c r="DS251" s="775"/>
      <c r="DT251" s="775"/>
      <c r="DU251" s="775"/>
      <c r="DV251" s="775"/>
      <c r="DW251" s="775"/>
      <c r="DX251" s="775"/>
      <c r="DY251" s="775"/>
      <c r="DZ251" s="775"/>
      <c r="EA251" s="775"/>
      <c r="EB251" s="775"/>
      <c r="EC251" s="775"/>
      <c r="ED251" s="775"/>
      <c r="EE251" s="775"/>
      <c r="EF251" s="775"/>
      <c r="EG251" s="775"/>
      <c r="EH251" s="775"/>
      <c r="EI251" s="775"/>
      <c r="EJ251" s="775"/>
      <c r="EK251" s="775"/>
      <c r="EL251" s="775"/>
      <c r="EM251" s="775"/>
      <c r="EN251" s="775"/>
      <c r="EO251" s="775"/>
      <c r="EP251" s="775"/>
      <c r="EQ251" s="775"/>
      <c r="ER251" s="775"/>
      <c r="ES251" s="775"/>
      <c r="ET251" s="775"/>
      <c r="EU251" s="775"/>
      <c r="EV251" s="775"/>
      <c r="EW251" s="775"/>
      <c r="EX251" s="775"/>
      <c r="EY251" s="775"/>
      <c r="EZ251" s="775"/>
      <c r="FA251" s="775"/>
      <c r="FB251" s="775"/>
      <c r="FC251" s="775"/>
      <c r="FD251" s="775"/>
      <c r="FE251" s="775"/>
      <c r="FF251" s="775"/>
      <c r="FG251" s="775"/>
      <c r="FH251" s="775"/>
      <c r="FI251" s="775"/>
      <c r="FJ251" s="775"/>
      <c r="FK251" s="775"/>
      <c r="FL251" s="775"/>
      <c r="FM251" s="775"/>
      <c r="FN251" s="775"/>
      <c r="FO251" s="775"/>
      <c r="FP251" s="775"/>
      <c r="FQ251" s="775"/>
      <c r="FR251" s="775"/>
      <c r="FS251" s="775"/>
      <c r="FT251" s="775"/>
      <c r="FU251" s="775"/>
      <c r="FV251" s="775"/>
      <c r="FW251" s="775"/>
      <c r="FX251" s="775"/>
      <c r="FY251" s="775"/>
      <c r="FZ251" s="775"/>
      <c r="GA251" s="775"/>
      <c r="GB251" s="775"/>
      <c r="GC251" s="775"/>
      <c r="GD251" s="775"/>
      <c r="GE251" s="775"/>
      <c r="GF251" s="775"/>
      <c r="GG251" s="775"/>
    </row>
    <row r="252" spans="70:189">
      <c r="BR252" s="775"/>
      <c r="BS252" s="36">
        <f>'Quick Calculator'!AG265</f>
        <v>0</v>
      </c>
      <c r="BT252" s="36">
        <f>'Quick Calculator'!AG266</f>
        <v>0</v>
      </c>
      <c r="BU252" s="36">
        <f>'Quick Calculator'!AG267</f>
        <v>0</v>
      </c>
      <c r="BV252" s="36">
        <f>'Quick Calculator'!AG268</f>
        <v>0</v>
      </c>
      <c r="BW252" s="36">
        <f>'Quick Calculator'!AG269</f>
        <v>0</v>
      </c>
      <c r="BX252" s="775"/>
      <c r="BY252" s="775"/>
      <c r="BZ252" s="775"/>
      <c r="CA252" s="775">
        <v>3</v>
      </c>
      <c r="CB252" s="775"/>
      <c r="CC252" s="775"/>
      <c r="CD252" s="775"/>
      <c r="CE252" s="775"/>
      <c r="CF252" s="775"/>
      <c r="CG252" s="775"/>
      <c r="CH252" s="775"/>
      <c r="CI252" s="775"/>
      <c r="CJ252" s="775"/>
      <c r="CK252" s="775"/>
      <c r="CL252" s="775"/>
      <c r="CM252" s="775"/>
      <c r="CN252" s="775"/>
      <c r="CO252" s="775"/>
      <c r="CP252" s="775"/>
      <c r="CQ252" s="775"/>
      <c r="CR252" s="775"/>
      <c r="CS252" s="775"/>
      <c r="CT252" s="775"/>
      <c r="CU252" s="775"/>
      <c r="CV252" s="775"/>
      <c r="CW252" s="775"/>
      <c r="CX252" s="775"/>
      <c r="CY252" s="775"/>
      <c r="CZ252" s="775"/>
      <c r="DA252" s="775"/>
      <c r="DB252" s="775"/>
      <c r="DC252" s="775"/>
      <c r="DD252" s="775"/>
      <c r="DE252" s="775"/>
      <c r="DF252" s="775"/>
      <c r="DG252" s="775" t="s">
        <v>1650</v>
      </c>
      <c r="DH252" s="775"/>
      <c r="DI252" s="775"/>
      <c r="DJ252" s="775" t="s">
        <v>1645</v>
      </c>
      <c r="DK252" s="775"/>
      <c r="DL252" s="775"/>
      <c r="DM252" s="775" t="s">
        <v>1650</v>
      </c>
      <c r="DN252" s="775"/>
      <c r="DO252" s="775"/>
      <c r="DP252" s="775"/>
      <c r="DQ252" s="775"/>
      <c r="DR252" s="775"/>
      <c r="DS252" s="775"/>
      <c r="DT252" s="775"/>
      <c r="DU252" s="775"/>
      <c r="DV252" s="775"/>
      <c r="DW252" s="775"/>
      <c r="DX252" s="775"/>
      <c r="DY252" s="775"/>
      <c r="DZ252" s="775"/>
      <c r="EA252" s="775"/>
      <c r="EB252" s="775"/>
      <c r="EC252" s="775"/>
      <c r="ED252" s="775"/>
      <c r="EE252" s="775"/>
      <c r="EF252" s="775"/>
      <c r="EG252" s="775"/>
      <c r="EH252" s="775"/>
      <c r="EI252" s="775"/>
      <c r="EJ252" s="775"/>
      <c r="EK252" s="775"/>
      <c r="EL252" s="775"/>
      <c r="EM252" s="775"/>
      <c r="EN252" s="775"/>
      <c r="EO252" s="775"/>
      <c r="EP252" s="775"/>
      <c r="EQ252" s="775"/>
      <c r="ER252" s="775"/>
      <c r="ES252" s="775"/>
      <c r="ET252" s="775"/>
      <c r="EU252" s="775"/>
      <c r="EV252" s="775"/>
      <c r="EW252" s="775"/>
      <c r="EX252" s="775"/>
      <c r="EY252" s="775"/>
      <c r="EZ252" s="775"/>
      <c r="FA252" s="775"/>
      <c r="FB252" s="775"/>
      <c r="FC252" s="775"/>
      <c r="FD252" s="775"/>
      <c r="FE252" s="775"/>
      <c r="FF252" s="775"/>
      <c r="FG252" s="775"/>
      <c r="FH252" s="775"/>
      <c r="FI252" s="775"/>
      <c r="FJ252" s="775"/>
      <c r="FK252" s="775"/>
      <c r="FL252" s="775"/>
      <c r="FM252" s="775"/>
      <c r="FN252" s="775"/>
      <c r="FO252" s="775"/>
      <c r="FP252" s="775"/>
      <c r="FQ252" s="775"/>
      <c r="FR252" s="775"/>
      <c r="FS252" s="775"/>
      <c r="FT252" s="775"/>
      <c r="FU252" s="775"/>
      <c r="FV252" s="775"/>
      <c r="FW252" s="775"/>
      <c r="FX252" s="775"/>
      <c r="FY252" s="775"/>
      <c r="FZ252" s="775"/>
      <c r="GA252" s="775"/>
      <c r="GB252" s="775"/>
      <c r="GC252" s="775"/>
      <c r="GD252" s="775"/>
      <c r="GE252" s="775"/>
      <c r="GF252" s="775"/>
      <c r="GG252" s="775"/>
    </row>
    <row r="253" spans="70:189">
      <c r="BR253" s="775"/>
      <c r="BS253" s="775"/>
      <c r="BT253" s="775"/>
      <c r="BU253" s="775"/>
      <c r="BV253" s="775"/>
      <c r="BW253" s="775"/>
      <c r="BX253" s="775"/>
      <c r="BY253" s="775"/>
      <c r="BZ253" s="775"/>
      <c r="CA253" s="775">
        <v>4</v>
      </c>
      <c r="CB253" s="775"/>
      <c r="CC253" s="775"/>
      <c r="CD253" s="775"/>
      <c r="CE253" s="775"/>
      <c r="CF253" s="775"/>
      <c r="CG253" s="775"/>
      <c r="CH253" s="775"/>
      <c r="CI253" s="775"/>
      <c r="CJ253" s="775"/>
      <c r="CK253" s="775"/>
      <c r="CL253" s="775"/>
      <c r="CM253" s="775"/>
      <c r="CN253" s="775"/>
      <c r="CO253" s="775"/>
      <c r="CP253" s="775"/>
      <c r="CQ253" s="775"/>
      <c r="CR253" s="775"/>
      <c r="CS253" s="775"/>
      <c r="CT253" s="775"/>
      <c r="CU253" s="775"/>
      <c r="CV253" s="775"/>
      <c r="CW253" s="775"/>
      <c r="CX253" s="775"/>
      <c r="CY253" s="775"/>
      <c r="CZ253" s="775"/>
      <c r="DA253" s="775"/>
      <c r="DB253" s="775"/>
      <c r="DC253" s="775"/>
      <c r="DD253" s="775" t="s">
        <v>10</v>
      </c>
      <c r="DE253" s="673">
        <f>V70</f>
        <v>8</v>
      </c>
      <c r="DF253" s="775" t="s">
        <v>59</v>
      </c>
      <c r="DG253" s="91">
        <f>IF(DH251=1,AY$3,IF(DH251=2,AY$4,IF(DH251=3,AY$5,IF(DH251=4,AY$6,IF(DH251=5,AY$7,"")))))</f>
        <v>26</v>
      </c>
      <c r="DH253" s="775" t="s">
        <v>1644</v>
      </c>
      <c r="DI253" s="775">
        <v>50</v>
      </c>
      <c r="DJ253" s="775">
        <f>IF(DI253&gt;DE253,DI253,DE253)</f>
        <v>50</v>
      </c>
      <c r="DK253" s="775"/>
      <c r="DL253" s="775"/>
      <c r="DM253" s="775" t="s">
        <v>470</v>
      </c>
      <c r="DN253" s="775">
        <f>IF(DH251=1,AX$3,IF(DH251=2,AX$4,IF(DH251=3,AX$5,IF(DH251=4,AX$6,IF(DH251=5,AX$7,"")))))</f>
        <v>2.0136182336182333</v>
      </c>
      <c r="DO253" s="775"/>
      <c r="DP253" s="775" t="s">
        <v>605</v>
      </c>
      <c r="DQ253" s="775">
        <f>IF(DH251=1,BA$3,IF(DH251=2,BA$4,IF(DH251=3,BA$5,IF(DH251=4,BA$6,IF(DH251=5,BA$7,"")))))</f>
        <v>31.576723317281619</v>
      </c>
      <c r="DR253" s="775"/>
      <c r="DS253" s="775"/>
      <c r="DT253" s="775"/>
      <c r="DU253" s="775"/>
      <c r="DV253" s="775"/>
      <c r="DW253" s="775"/>
      <c r="DX253" s="775"/>
      <c r="DY253" s="775"/>
      <c r="DZ253" s="775"/>
      <c r="EA253" s="775"/>
      <c r="EB253" s="775"/>
      <c r="EC253" s="775"/>
      <c r="ED253" s="775"/>
      <c r="EE253" s="775"/>
      <c r="EF253" s="775"/>
      <c r="EG253" s="775"/>
      <c r="EH253" s="775"/>
      <c r="EI253" s="775"/>
      <c r="EJ253" s="775"/>
      <c r="EK253" s="775"/>
      <c r="EL253" s="775"/>
      <c r="EM253" s="775"/>
      <c r="EN253" s="775"/>
      <c r="EO253" s="775"/>
      <c r="EP253" s="775"/>
      <c r="EQ253" s="775"/>
      <c r="ER253" s="775"/>
      <c r="ES253" s="775"/>
      <c r="ET253" s="775"/>
      <c r="EU253" s="775"/>
      <c r="EV253" s="775"/>
      <c r="EW253" s="775"/>
      <c r="EX253" s="775"/>
      <c r="EY253" s="775"/>
      <c r="EZ253" s="775"/>
      <c r="FA253" s="775"/>
      <c r="FB253" s="775"/>
      <c r="FC253" s="775"/>
      <c r="FD253" s="775"/>
      <c r="FE253" s="775"/>
      <c r="FF253" s="775"/>
      <c r="FG253" s="775"/>
      <c r="FH253" s="775"/>
      <c r="FI253" s="775"/>
      <c r="FJ253" s="775"/>
      <c r="FK253" s="775"/>
      <c r="FL253" s="775"/>
      <c r="FM253" s="775"/>
      <c r="FN253" s="775"/>
      <c r="FO253" s="775"/>
      <c r="FP253" s="775"/>
      <c r="FQ253" s="775"/>
      <c r="FR253" s="775"/>
      <c r="FS253" s="775"/>
      <c r="FT253" s="775"/>
      <c r="FU253" s="775"/>
      <c r="FV253" s="775"/>
      <c r="FW253" s="775"/>
      <c r="FX253" s="775"/>
      <c r="FY253" s="775"/>
      <c r="FZ253" s="775"/>
      <c r="GA253" s="775"/>
      <c r="GB253" s="775"/>
      <c r="GC253" s="775"/>
      <c r="GD253" s="775"/>
      <c r="GE253" s="775"/>
      <c r="GF253" s="775"/>
      <c r="GG253" s="775"/>
    </row>
    <row r="254" spans="70:189">
      <c r="BR254" s="775"/>
      <c r="BS254" s="775"/>
      <c r="BT254" s="775"/>
      <c r="BU254" s="775"/>
      <c r="BV254" s="775"/>
      <c r="BW254" s="775"/>
      <c r="BX254" s="775"/>
      <c r="BY254" s="775"/>
      <c r="BZ254" s="775"/>
      <c r="CA254" s="775"/>
      <c r="CB254" s="775"/>
      <c r="CC254" s="775"/>
      <c r="CD254" s="775"/>
      <c r="CE254" s="775"/>
      <c r="CF254" s="775"/>
      <c r="CG254" s="775"/>
      <c r="CH254" s="775"/>
      <c r="CI254" s="775"/>
      <c r="CJ254" s="775"/>
      <c r="CK254" s="775"/>
      <c r="CL254" s="775"/>
      <c r="CM254" s="775"/>
      <c r="CN254" s="775"/>
      <c r="CO254" s="775"/>
      <c r="CP254" s="775"/>
      <c r="CQ254" s="775"/>
      <c r="CR254" s="775"/>
      <c r="CS254" s="775"/>
      <c r="CT254" s="775"/>
      <c r="CU254" s="775"/>
      <c r="CV254" s="775"/>
      <c r="CW254" s="775"/>
      <c r="CX254" s="775"/>
      <c r="CY254" s="775"/>
      <c r="CZ254" s="775"/>
      <c r="DA254" s="775"/>
      <c r="DB254" s="775"/>
      <c r="DC254" s="775"/>
      <c r="DD254" s="775" t="s">
        <v>1643</v>
      </c>
      <c r="DE254" s="775"/>
      <c r="DF254" s="775"/>
      <c r="DG254" s="775"/>
      <c r="DH254" s="775"/>
      <c r="DI254" s="775"/>
      <c r="DJ254" s="775"/>
      <c r="DK254" s="775"/>
      <c r="DL254" s="775"/>
      <c r="DM254" s="775"/>
      <c r="DN254" s="775"/>
      <c r="DO254" s="775"/>
      <c r="DP254" s="775"/>
      <c r="DQ254" s="775"/>
      <c r="DR254" s="775"/>
      <c r="DS254" s="775"/>
      <c r="DT254" s="775"/>
      <c r="DU254" s="775"/>
      <c r="DV254" s="775"/>
      <c r="DW254" s="775"/>
      <c r="DX254" s="775"/>
      <c r="DY254" s="775"/>
      <c r="DZ254" s="775"/>
      <c r="EA254" s="775"/>
      <c r="EB254" s="775"/>
      <c r="EC254" s="775"/>
      <c r="ED254" s="775"/>
      <c r="EE254" s="775"/>
      <c r="EF254" s="775"/>
      <c r="EG254" s="775"/>
      <c r="EH254" s="775"/>
      <c r="EI254" s="775"/>
      <c r="EJ254" s="775"/>
      <c r="EK254" s="775"/>
      <c r="EL254" s="775"/>
      <c r="EM254" s="775"/>
      <c r="EN254" s="775"/>
      <c r="EO254" s="775"/>
      <c r="EP254" s="775"/>
      <c r="EQ254" s="775"/>
      <c r="ER254" s="775"/>
      <c r="ES254" s="775"/>
      <c r="ET254" s="775"/>
      <c r="EU254" s="775"/>
      <c r="EV254" s="775"/>
      <c r="EW254" s="775"/>
      <c r="EX254" s="775"/>
      <c r="EY254" s="775"/>
      <c r="EZ254" s="775"/>
      <c r="FA254" s="775"/>
      <c r="FB254" s="775"/>
      <c r="FC254" s="775"/>
      <c r="FD254" s="775"/>
      <c r="FE254" s="775"/>
      <c r="FF254" s="775"/>
      <c r="FG254" s="775"/>
      <c r="FH254" s="775"/>
      <c r="FI254" s="775"/>
      <c r="FJ254" s="775"/>
      <c r="FK254" s="775"/>
      <c r="FL254" s="775"/>
      <c r="FM254" s="775"/>
      <c r="FN254" s="775"/>
      <c r="FO254" s="775"/>
      <c r="FP254" s="775"/>
      <c r="FQ254" s="775"/>
      <c r="FR254" s="775"/>
      <c r="FS254" s="775"/>
      <c r="FT254" s="775"/>
      <c r="FU254" s="775"/>
      <c r="FV254" s="775"/>
      <c r="FW254" s="775"/>
      <c r="FX254" s="775"/>
      <c r="FY254" s="775"/>
      <c r="FZ254" s="775"/>
      <c r="GA254" s="775"/>
      <c r="GB254" s="775"/>
      <c r="GC254" s="775"/>
      <c r="GD254" s="775"/>
      <c r="GE254" s="775"/>
      <c r="GF254" s="775"/>
      <c r="GG254" s="775"/>
    </row>
    <row r="255" spans="70:189">
      <c r="BR255" s="775"/>
      <c r="BS255" s="775"/>
      <c r="BT255" s="775"/>
      <c r="BU255" s="775"/>
      <c r="BV255" s="775"/>
      <c r="BW255" s="775"/>
      <c r="BX255" s="775"/>
      <c r="BY255" s="775" t="s">
        <v>1646</v>
      </c>
      <c r="BZ255" s="775"/>
      <c r="CA255" s="775"/>
      <c r="CB255" s="775"/>
      <c r="CC255" s="775"/>
      <c r="CD255" s="775"/>
      <c r="CE255" s="775"/>
      <c r="CF255" s="775"/>
      <c r="CG255" s="775"/>
      <c r="CH255" s="775"/>
      <c r="CI255" s="775"/>
      <c r="CJ255" s="775"/>
      <c r="CK255" s="775"/>
      <c r="CL255" s="775"/>
      <c r="CM255" s="775"/>
      <c r="CN255" s="775"/>
      <c r="CO255" s="775"/>
      <c r="CP255" s="775"/>
      <c r="CQ255" s="775"/>
      <c r="CR255" s="775"/>
      <c r="CS255" s="775"/>
      <c r="CT255" s="775"/>
      <c r="CU255" s="775"/>
      <c r="CV255" s="775"/>
      <c r="CW255" s="775"/>
      <c r="CX255" s="775"/>
      <c r="CY255" s="775"/>
      <c r="CZ255" s="775"/>
      <c r="DA255" s="775"/>
      <c r="DB255" s="775"/>
      <c r="DC255" s="775"/>
      <c r="DD255" s="775">
        <v>1</v>
      </c>
      <c r="DE255" s="775">
        <v>2</v>
      </c>
      <c r="DF255" s="775">
        <v>3</v>
      </c>
      <c r="DG255" s="775">
        <v>4</v>
      </c>
      <c r="DH255" s="775">
        <v>5</v>
      </c>
      <c r="DI255" s="775">
        <v>6</v>
      </c>
      <c r="DJ255" s="775">
        <v>7</v>
      </c>
      <c r="DK255" s="775">
        <v>8</v>
      </c>
      <c r="DL255" s="775">
        <v>9</v>
      </c>
      <c r="DM255" s="775">
        <v>10</v>
      </c>
      <c r="DN255" s="775">
        <v>11</v>
      </c>
      <c r="DO255" s="775">
        <v>12</v>
      </c>
      <c r="DP255" s="775">
        <v>13</v>
      </c>
      <c r="DQ255" s="775">
        <v>14</v>
      </c>
      <c r="DR255" s="775">
        <v>15</v>
      </c>
      <c r="DS255" s="775">
        <v>16</v>
      </c>
      <c r="DT255" s="775">
        <v>17</v>
      </c>
      <c r="DU255" s="775">
        <v>18</v>
      </c>
      <c r="DV255" s="775">
        <v>19</v>
      </c>
      <c r="DW255" s="775">
        <v>20</v>
      </c>
      <c r="DX255" s="775">
        <v>21</v>
      </c>
      <c r="DY255" s="775">
        <v>22</v>
      </c>
      <c r="DZ255" s="775">
        <v>23</v>
      </c>
      <c r="EA255" s="775"/>
      <c r="EB255" s="775"/>
      <c r="EC255" s="775"/>
      <c r="ED255" s="775"/>
      <c r="EE255" s="775"/>
      <c r="EF255" s="775" t="s">
        <v>1646</v>
      </c>
      <c r="EG255" s="775"/>
      <c r="EH255" s="775"/>
      <c r="EI255" s="775"/>
      <c r="EJ255" s="775"/>
      <c r="EK255" s="775"/>
      <c r="EL255" s="775"/>
      <c r="EM255" s="775"/>
      <c r="EN255" s="775"/>
      <c r="EO255" s="775"/>
      <c r="EP255" s="775"/>
      <c r="EQ255" s="775"/>
      <c r="ER255" s="775"/>
      <c r="ES255" s="775"/>
      <c r="ET255" s="775"/>
      <c r="EU255" s="775"/>
      <c r="EV255" s="775"/>
      <c r="EW255" s="775"/>
      <c r="EX255" s="775"/>
      <c r="EY255" s="775"/>
      <c r="EZ255" s="775"/>
      <c r="FA255" s="775"/>
      <c r="FB255" s="775"/>
      <c r="FC255" s="775"/>
      <c r="FD255" s="775"/>
      <c r="FE255" s="775"/>
      <c r="FF255" s="775"/>
      <c r="FG255" s="775"/>
      <c r="FH255" s="775"/>
      <c r="FI255" s="775"/>
      <c r="FJ255" s="775"/>
      <c r="FK255" s="775">
        <v>1</v>
      </c>
      <c r="FL255" s="775">
        <v>2</v>
      </c>
      <c r="FM255" s="775">
        <v>3</v>
      </c>
      <c r="FN255" s="775">
        <v>4</v>
      </c>
      <c r="FO255" s="775">
        <v>5</v>
      </c>
      <c r="FP255" s="775">
        <v>6</v>
      </c>
      <c r="FQ255" s="775">
        <v>7</v>
      </c>
      <c r="FR255" s="775">
        <v>8</v>
      </c>
      <c r="FS255" s="775">
        <v>9</v>
      </c>
      <c r="FT255" s="775">
        <v>10</v>
      </c>
      <c r="FU255" s="775">
        <v>11</v>
      </c>
      <c r="FV255" s="775">
        <v>12</v>
      </c>
      <c r="FW255" s="775">
        <v>13</v>
      </c>
      <c r="FX255" s="775">
        <v>14</v>
      </c>
      <c r="FY255" s="775">
        <v>15</v>
      </c>
      <c r="FZ255" s="775">
        <v>16</v>
      </c>
      <c r="GA255" s="775">
        <v>17</v>
      </c>
      <c r="GB255" s="775">
        <v>18</v>
      </c>
      <c r="GC255" s="775">
        <v>19</v>
      </c>
      <c r="GD255" s="775">
        <v>20</v>
      </c>
      <c r="GE255" s="775">
        <v>21</v>
      </c>
      <c r="GF255" s="775">
        <v>22</v>
      </c>
      <c r="GG255" s="775">
        <v>23</v>
      </c>
    </row>
    <row r="256" spans="70:189">
      <c r="BR256" s="775"/>
      <c r="BS256" s="36">
        <f>'Quick Calculator'!AK265</f>
        <v>0</v>
      </c>
      <c r="BT256" s="36">
        <f>'Quick Calculator'!AK266</f>
        <v>0</v>
      </c>
      <c r="BU256" s="36">
        <f>'Quick Calculator'!AK267</f>
        <v>0</v>
      </c>
      <c r="BV256" s="36">
        <f>'Quick Calculator'!AK268</f>
        <v>0</v>
      </c>
      <c r="BW256" s="36">
        <f>'Quick Calculator'!AK269</f>
        <v>0</v>
      </c>
      <c r="BX256" s="775"/>
      <c r="BY256" s="775"/>
      <c r="BZ256" s="775"/>
      <c r="CA256" s="775"/>
      <c r="CB256" s="775" t="s">
        <v>1627</v>
      </c>
      <c r="CC256" s="775"/>
      <c r="CD256" s="775"/>
      <c r="CE256" s="775"/>
      <c r="CF256" s="775"/>
      <c r="CG256" s="775"/>
      <c r="CH256" s="775"/>
      <c r="CI256" s="775"/>
      <c r="CJ256" s="775"/>
      <c r="CK256" s="775"/>
      <c r="CL256" s="775"/>
      <c r="CM256" s="775"/>
      <c r="CN256" s="775"/>
      <c r="CO256" s="775"/>
      <c r="CP256" s="775"/>
      <c r="CQ256" s="775"/>
      <c r="CR256" s="775"/>
      <c r="CS256" s="775"/>
      <c r="CT256" s="775"/>
      <c r="CU256" s="775"/>
      <c r="CV256" s="775"/>
      <c r="CW256" s="775"/>
      <c r="CX256" s="36">
        <f>'Quick Calculator'!BP265</f>
        <v>0</v>
      </c>
      <c r="CY256" s="36">
        <f>'Quick Calculator'!BP266</f>
        <v>0</v>
      </c>
      <c r="CZ256" s="36">
        <f>'Quick Calculator'!BP267</f>
        <v>0</v>
      </c>
      <c r="DA256" s="36">
        <f>'Quick Calculator'!BP268</f>
        <v>0</v>
      </c>
      <c r="DB256" s="36">
        <f>'Quick Calculator'!BP269</f>
        <v>0</v>
      </c>
      <c r="DC256" s="775"/>
      <c r="DD256" s="775"/>
      <c r="DE256" s="775"/>
      <c r="DF256" s="775"/>
      <c r="DG256" s="775" t="s">
        <v>1627</v>
      </c>
      <c r="DH256" s="775"/>
      <c r="DI256" s="775"/>
      <c r="DJ256" s="775"/>
      <c r="DK256" s="775"/>
      <c r="DL256" s="775"/>
      <c r="DM256" s="775"/>
      <c r="DN256" s="775"/>
      <c r="DO256" s="775"/>
      <c r="DP256" s="775"/>
      <c r="DQ256" s="775"/>
      <c r="DR256" s="775"/>
      <c r="DS256" s="775"/>
      <c r="DT256" s="775"/>
      <c r="DU256" s="775"/>
      <c r="DV256" s="775"/>
      <c r="DW256" s="775"/>
      <c r="DX256" s="775"/>
      <c r="DY256" s="775"/>
      <c r="DZ256" s="775"/>
      <c r="EA256" s="775"/>
      <c r="EB256" s="36">
        <f>'Quick Calculator'!CR267</f>
        <v>0</v>
      </c>
      <c r="EC256" s="36">
        <f>'Quick Calculator'!CR268</f>
        <v>0</v>
      </c>
      <c r="ED256" s="36">
        <f>'Quick Calculator'!CR269</f>
        <v>0</v>
      </c>
      <c r="EE256" s="775"/>
      <c r="EF256" s="775"/>
      <c r="EG256" s="775"/>
      <c r="EH256" s="775"/>
      <c r="EI256" s="775" t="s">
        <v>1627</v>
      </c>
      <c r="EJ256" s="775"/>
      <c r="EK256" s="775"/>
      <c r="EL256" s="775"/>
      <c r="EM256" s="775"/>
      <c r="EN256" s="775"/>
      <c r="EO256" s="775"/>
      <c r="EP256" s="775"/>
      <c r="EQ256" s="775"/>
      <c r="ER256" s="775"/>
      <c r="ES256" s="775"/>
      <c r="ET256" s="775"/>
      <c r="EU256" s="775"/>
      <c r="EV256" s="775"/>
      <c r="EW256" s="775"/>
      <c r="EX256" s="775"/>
      <c r="EY256" s="775"/>
      <c r="EZ256" s="775"/>
      <c r="FA256" s="775"/>
      <c r="FB256" s="775"/>
      <c r="FC256" s="775"/>
      <c r="FD256" s="775"/>
      <c r="FE256" s="36">
        <f>'Quick Calculator'!DW265</f>
        <v>0</v>
      </c>
      <c r="FF256" s="36">
        <f>'Quick Calculator'!DW266</f>
        <v>0</v>
      </c>
      <c r="FG256" s="36">
        <f>'Quick Calculator'!DW267</f>
        <v>0</v>
      </c>
      <c r="FH256" s="36">
        <f>'Quick Calculator'!DW268</f>
        <v>0</v>
      </c>
      <c r="FI256" s="36">
        <f>'Quick Calculator'!DW269</f>
        <v>0</v>
      </c>
      <c r="FJ256" s="775"/>
      <c r="FK256" s="775"/>
      <c r="FL256" s="775"/>
      <c r="FM256" s="775"/>
      <c r="FN256" s="775" t="s">
        <v>1627</v>
      </c>
      <c r="FO256" s="775"/>
      <c r="FP256" s="775"/>
      <c r="FQ256" s="775"/>
      <c r="FR256" s="775"/>
      <c r="FS256" s="775"/>
      <c r="FT256" s="775"/>
      <c r="FU256" s="775"/>
      <c r="FV256" s="775"/>
      <c r="FW256" s="775"/>
      <c r="FX256" s="775"/>
      <c r="FY256" s="775"/>
      <c r="FZ256" s="775"/>
      <c r="GA256" s="775"/>
      <c r="GB256" s="775"/>
      <c r="GC256" s="775"/>
      <c r="GD256" s="775"/>
      <c r="GE256" s="775"/>
      <c r="GF256" s="775"/>
      <c r="GG256" s="775"/>
    </row>
    <row r="257" spans="70:189">
      <c r="BR257" s="775"/>
      <c r="BS257" s="775"/>
      <c r="BT257" s="775"/>
      <c r="BU257" s="775"/>
      <c r="BV257" s="775"/>
      <c r="BW257" s="775"/>
      <c r="BX257" s="775"/>
      <c r="BY257" s="775"/>
      <c r="BZ257" s="775"/>
      <c r="CA257" s="775"/>
      <c r="CB257" s="775" t="s">
        <v>1602</v>
      </c>
      <c r="CC257" s="775"/>
      <c r="CD257" s="775"/>
      <c r="CE257" s="775"/>
      <c r="CF257" s="775"/>
      <c r="CG257" s="775"/>
      <c r="CH257" s="775"/>
      <c r="CI257" s="775"/>
      <c r="CJ257" s="775" t="s">
        <v>1630</v>
      </c>
      <c r="CK257" s="775" t="s">
        <v>1632</v>
      </c>
      <c r="CL257" s="775"/>
      <c r="CM257" s="775"/>
      <c r="CN257" s="775"/>
      <c r="CO257" s="775"/>
      <c r="CP257" s="775"/>
      <c r="CQ257" s="775"/>
      <c r="CR257" s="775"/>
      <c r="CS257" s="775"/>
      <c r="CT257" s="775"/>
      <c r="CU257" s="775"/>
      <c r="CV257" s="775"/>
      <c r="CW257" s="775"/>
      <c r="CX257" s="775"/>
      <c r="CY257" s="775"/>
      <c r="CZ257" s="775"/>
      <c r="DA257" s="775"/>
      <c r="DB257" s="775"/>
      <c r="DC257" s="775"/>
      <c r="DD257" s="775"/>
      <c r="DE257" s="775"/>
      <c r="DF257" s="775"/>
      <c r="DG257" s="775" t="s">
        <v>1602</v>
      </c>
      <c r="DH257" s="775"/>
      <c r="DI257" s="775"/>
      <c r="DJ257" s="775"/>
      <c r="DK257" s="775"/>
      <c r="DL257" s="775"/>
      <c r="DM257" s="775"/>
      <c r="DN257" s="775"/>
      <c r="DO257" s="775" t="s">
        <v>1630</v>
      </c>
      <c r="DP257" s="775" t="s">
        <v>1632</v>
      </c>
      <c r="DQ257" s="775"/>
      <c r="DR257" s="775"/>
      <c r="DS257" s="775"/>
      <c r="DT257" s="775"/>
      <c r="DU257" s="775"/>
      <c r="DV257" s="775"/>
      <c r="DW257" s="775"/>
      <c r="DX257" s="775"/>
      <c r="DY257" s="775"/>
      <c r="DZ257" s="775"/>
      <c r="EA257" s="775"/>
      <c r="EB257" s="775"/>
      <c r="EC257" s="775"/>
      <c r="ED257" s="775"/>
      <c r="EE257" s="775"/>
      <c r="EF257" s="775"/>
      <c r="EG257" s="775"/>
      <c r="EH257" s="775"/>
      <c r="EI257" s="775" t="s">
        <v>1602</v>
      </c>
      <c r="EJ257" s="775"/>
      <c r="EK257" s="775"/>
      <c r="EL257" s="775"/>
      <c r="EM257" s="775"/>
      <c r="EN257" s="775"/>
      <c r="EO257" s="775"/>
      <c r="EP257" s="775"/>
      <c r="EQ257" s="775" t="s">
        <v>1630</v>
      </c>
      <c r="ER257" s="775" t="s">
        <v>1632</v>
      </c>
      <c r="ES257" s="775"/>
      <c r="ET257" s="775"/>
      <c r="EU257" s="775"/>
      <c r="EV257" s="775"/>
      <c r="EW257" s="775"/>
      <c r="EX257" s="775"/>
      <c r="EY257" s="775"/>
      <c r="EZ257" s="775"/>
      <c r="FA257" s="775"/>
      <c r="FB257" s="775"/>
      <c r="FC257" s="775"/>
      <c r="FD257" s="775"/>
      <c r="FE257" s="775"/>
      <c r="FF257" s="775"/>
      <c r="FG257" s="775"/>
      <c r="FH257" s="775"/>
      <c r="FI257" s="775"/>
      <c r="FJ257" s="775"/>
      <c r="FK257" s="775"/>
      <c r="FL257" s="775"/>
      <c r="FM257" s="775"/>
      <c r="FN257" s="775" t="s">
        <v>1602</v>
      </c>
      <c r="FO257" s="775"/>
      <c r="FP257" s="775"/>
      <c r="FQ257" s="775"/>
      <c r="FR257" s="775"/>
      <c r="FS257" s="775"/>
      <c r="FT257" s="775"/>
      <c r="FU257" s="775"/>
      <c r="FV257" s="775" t="s">
        <v>1630</v>
      </c>
      <c r="FW257" s="775" t="s">
        <v>1632</v>
      </c>
      <c r="FX257" s="775"/>
      <c r="FY257" s="775"/>
      <c r="FZ257" s="775"/>
      <c r="GA257" s="775"/>
      <c r="GB257" s="775"/>
      <c r="GC257" s="775"/>
      <c r="GD257" s="775"/>
      <c r="GE257" s="775"/>
      <c r="GF257" s="775"/>
      <c r="GG257" s="775"/>
    </row>
    <row r="258" spans="70:189">
      <c r="BR258" s="775"/>
      <c r="BS258" s="775"/>
      <c r="BT258" s="775"/>
      <c r="BU258" s="775"/>
      <c r="BV258" s="775"/>
      <c r="BW258" s="775"/>
      <c r="BX258" s="775"/>
      <c r="BY258" s="775" t="s">
        <v>1625</v>
      </c>
      <c r="BZ258" s="775"/>
      <c r="CA258" s="775"/>
      <c r="CB258" s="775" t="s">
        <v>477</v>
      </c>
      <c r="CC258" s="775"/>
      <c r="CD258" s="775"/>
      <c r="CE258" s="775"/>
      <c r="CF258" s="775" t="s">
        <v>1619</v>
      </c>
      <c r="CG258" s="775" t="s">
        <v>1616</v>
      </c>
      <c r="CH258" s="775" t="s">
        <v>1617</v>
      </c>
      <c r="CI258" s="775" t="s">
        <v>1618</v>
      </c>
      <c r="CJ258" s="775" t="s">
        <v>1629</v>
      </c>
      <c r="CK258" s="775" t="s">
        <v>1631</v>
      </c>
      <c r="CL258" s="775" t="s">
        <v>1633</v>
      </c>
      <c r="CM258" s="775" t="s">
        <v>1634</v>
      </c>
      <c r="CN258" s="775" t="s">
        <v>1635</v>
      </c>
      <c r="CO258" s="775" t="s">
        <v>1636</v>
      </c>
      <c r="CP258" s="775" t="s">
        <v>1638</v>
      </c>
      <c r="CQ258" s="775" t="s">
        <v>1639</v>
      </c>
      <c r="CR258" s="775" t="s">
        <v>1640</v>
      </c>
      <c r="CS258" s="775" t="s">
        <v>1641</v>
      </c>
      <c r="CT258" s="775" t="s">
        <v>1616</v>
      </c>
      <c r="CU258" s="775" t="s">
        <v>1642</v>
      </c>
      <c r="CV258" s="775"/>
      <c r="CW258" s="775"/>
      <c r="CX258" s="775"/>
      <c r="CY258" s="775"/>
      <c r="CZ258" s="775"/>
      <c r="DA258" s="775"/>
      <c r="DB258" s="775"/>
      <c r="DC258" s="775"/>
      <c r="DD258" s="775" t="s">
        <v>1625</v>
      </c>
      <c r="DE258" s="775"/>
      <c r="DF258" s="775"/>
      <c r="DG258" s="775" t="s">
        <v>477</v>
      </c>
      <c r="DH258" s="775"/>
      <c r="DI258" s="775"/>
      <c r="DJ258" s="775"/>
      <c r="DK258" s="775" t="s">
        <v>1619</v>
      </c>
      <c r="DL258" s="775" t="s">
        <v>1616</v>
      </c>
      <c r="DM258" s="775" t="s">
        <v>1617</v>
      </c>
      <c r="DN258" s="775" t="s">
        <v>1618</v>
      </c>
      <c r="DO258" s="775" t="s">
        <v>1629</v>
      </c>
      <c r="DP258" s="775" t="s">
        <v>1631</v>
      </c>
      <c r="DQ258" s="775" t="s">
        <v>1633</v>
      </c>
      <c r="DR258" s="775" t="s">
        <v>1634</v>
      </c>
      <c r="DS258" s="775" t="s">
        <v>1635</v>
      </c>
      <c r="DT258" s="775" t="s">
        <v>1636</v>
      </c>
      <c r="DU258" s="775" t="s">
        <v>1638</v>
      </c>
      <c r="DV258" s="775" t="s">
        <v>1639</v>
      </c>
      <c r="DW258" s="775" t="s">
        <v>1640</v>
      </c>
      <c r="DX258" s="775" t="s">
        <v>1641</v>
      </c>
      <c r="DY258" s="775" t="s">
        <v>1616</v>
      </c>
      <c r="DZ258" s="775" t="s">
        <v>1642</v>
      </c>
      <c r="EA258" s="775"/>
      <c r="EB258" s="775"/>
      <c r="EC258" s="775"/>
      <c r="ED258" s="775"/>
      <c r="EE258" s="775"/>
      <c r="EF258" s="775" t="s">
        <v>1625</v>
      </c>
      <c r="EG258" s="775"/>
      <c r="EH258" s="775"/>
      <c r="EI258" s="775" t="s">
        <v>477</v>
      </c>
      <c r="EJ258" s="775"/>
      <c r="EK258" s="775"/>
      <c r="EL258" s="775"/>
      <c r="EM258" s="775" t="s">
        <v>1619</v>
      </c>
      <c r="EN258" s="775" t="s">
        <v>1616</v>
      </c>
      <c r="EO258" s="775" t="s">
        <v>1617</v>
      </c>
      <c r="EP258" s="775" t="s">
        <v>1618</v>
      </c>
      <c r="EQ258" s="775" t="s">
        <v>1629</v>
      </c>
      <c r="ER258" s="775" t="s">
        <v>1631</v>
      </c>
      <c r="ES258" s="775" t="s">
        <v>1633</v>
      </c>
      <c r="ET258" s="775" t="s">
        <v>1634</v>
      </c>
      <c r="EU258" s="775" t="s">
        <v>1635</v>
      </c>
      <c r="EV258" s="775" t="s">
        <v>1636</v>
      </c>
      <c r="EW258" s="775" t="s">
        <v>1638</v>
      </c>
      <c r="EX258" s="775" t="s">
        <v>1639</v>
      </c>
      <c r="EY258" s="775" t="s">
        <v>1640</v>
      </c>
      <c r="EZ258" s="775" t="s">
        <v>1641</v>
      </c>
      <c r="FA258" s="775" t="s">
        <v>1616</v>
      </c>
      <c r="FB258" s="775" t="s">
        <v>1642</v>
      </c>
      <c r="FC258" s="775"/>
      <c r="FD258" s="775"/>
      <c r="FE258" s="775"/>
      <c r="FF258" s="775"/>
      <c r="FG258" s="775"/>
      <c r="FH258" s="775"/>
      <c r="FI258" s="775"/>
      <c r="FJ258" s="775"/>
      <c r="FK258" s="775" t="s">
        <v>1625</v>
      </c>
      <c r="FL258" s="775"/>
      <c r="FM258" s="775"/>
      <c r="FN258" s="775" t="s">
        <v>477</v>
      </c>
      <c r="FO258" s="775"/>
      <c r="FP258" s="775"/>
      <c r="FQ258" s="775"/>
      <c r="FR258" s="775" t="s">
        <v>1619</v>
      </c>
      <c r="FS258" s="775" t="s">
        <v>1642</v>
      </c>
      <c r="FT258" s="775" t="s">
        <v>1617</v>
      </c>
      <c r="FU258" s="775" t="s">
        <v>1618</v>
      </c>
      <c r="FV258" s="775" t="s">
        <v>1629</v>
      </c>
      <c r="FW258" s="775" t="s">
        <v>1631</v>
      </c>
      <c r="FX258" s="775" t="s">
        <v>1633</v>
      </c>
      <c r="FY258" s="775" t="s">
        <v>1634</v>
      </c>
      <c r="FZ258" s="775" t="s">
        <v>1635</v>
      </c>
      <c r="GA258" s="775" t="s">
        <v>1636</v>
      </c>
      <c r="GB258" s="775" t="s">
        <v>1638</v>
      </c>
      <c r="GC258" s="775" t="s">
        <v>1639</v>
      </c>
      <c r="GD258" s="775" t="s">
        <v>1640</v>
      </c>
      <c r="GE258" s="775" t="s">
        <v>1641</v>
      </c>
      <c r="GF258" s="775" t="s">
        <v>1616</v>
      </c>
      <c r="GG258" s="775" t="s">
        <v>1642</v>
      </c>
    </row>
    <row r="259" spans="70:189">
      <c r="BR259" s="775"/>
      <c r="BS259" s="775"/>
      <c r="BT259" s="775"/>
      <c r="BU259" s="775"/>
      <c r="BV259" s="775"/>
      <c r="BW259" s="775"/>
      <c r="BX259" s="775"/>
      <c r="BY259" s="775"/>
      <c r="BZ259" s="775" t="s">
        <v>1620</v>
      </c>
      <c r="CA259" s="775"/>
      <c r="CB259" s="775" t="s">
        <v>1626</v>
      </c>
      <c r="CC259" s="775" t="s">
        <v>1611</v>
      </c>
      <c r="CD259" s="775" t="s">
        <v>59</v>
      </c>
      <c r="CE259" s="775" t="s">
        <v>1612</v>
      </c>
      <c r="CF259" s="775" t="s">
        <v>1613</v>
      </c>
      <c r="CG259" s="775" t="s">
        <v>1614</v>
      </c>
      <c r="CH259" s="775" t="s">
        <v>1615</v>
      </c>
      <c r="CI259" s="775"/>
      <c r="CJ259" s="775"/>
      <c r="CK259" s="775"/>
      <c r="CL259" s="775"/>
      <c r="CM259" s="775"/>
      <c r="CN259" s="775"/>
      <c r="CO259" s="775"/>
      <c r="CP259" s="775"/>
      <c r="CQ259" s="775"/>
      <c r="CR259" s="775"/>
      <c r="CS259" s="775"/>
      <c r="CT259" s="775"/>
      <c r="CU259" s="775"/>
      <c r="CV259" s="775"/>
      <c r="CW259" s="775"/>
      <c r="CX259" s="775"/>
      <c r="CY259" s="775"/>
      <c r="CZ259" s="775"/>
      <c r="DA259" s="775"/>
      <c r="DB259" s="775"/>
      <c r="DC259" s="775"/>
      <c r="DD259" s="775"/>
      <c r="DE259" s="775" t="s">
        <v>1620</v>
      </c>
      <c r="DF259" s="775"/>
      <c r="DG259" s="775" t="s">
        <v>1626</v>
      </c>
      <c r="DH259" s="775" t="s">
        <v>1611</v>
      </c>
      <c r="DI259" s="775" t="s">
        <v>59</v>
      </c>
      <c r="DJ259" s="775" t="s">
        <v>1612</v>
      </c>
      <c r="DK259" s="775" t="s">
        <v>1613</v>
      </c>
      <c r="DL259" s="775" t="s">
        <v>1614</v>
      </c>
      <c r="DM259" s="775" t="s">
        <v>1615</v>
      </c>
      <c r="DN259" s="775"/>
      <c r="DO259" s="775"/>
      <c r="DP259" s="775"/>
      <c r="DQ259" s="775"/>
      <c r="DR259" s="775"/>
      <c r="DS259" s="775"/>
      <c r="DT259" s="775"/>
      <c r="DU259" s="775"/>
      <c r="DV259" s="775"/>
      <c r="DW259" s="775"/>
      <c r="DX259" s="775"/>
      <c r="DY259" s="775"/>
      <c r="DZ259" s="775"/>
      <c r="EA259" s="775"/>
      <c r="EB259" s="775"/>
      <c r="EC259" s="775"/>
      <c r="ED259" s="775"/>
      <c r="EE259" s="775"/>
      <c r="EF259" s="775"/>
      <c r="EG259" s="775" t="s">
        <v>1620</v>
      </c>
      <c r="EH259" s="775"/>
      <c r="EI259" s="775" t="s">
        <v>1626</v>
      </c>
      <c r="EJ259" s="775" t="s">
        <v>1611</v>
      </c>
      <c r="EK259" s="775" t="s">
        <v>59</v>
      </c>
      <c r="EL259" s="775" t="s">
        <v>1612</v>
      </c>
      <c r="EM259" s="775" t="s">
        <v>1613</v>
      </c>
      <c r="EN259" s="775" t="s">
        <v>1647</v>
      </c>
      <c r="EO259" s="775" t="s">
        <v>1615</v>
      </c>
      <c r="EP259" s="775"/>
      <c r="EQ259" s="775"/>
      <c r="ER259" s="775"/>
      <c r="ES259" s="775"/>
      <c r="ET259" s="775"/>
      <c r="EU259" s="775"/>
      <c r="EV259" s="775"/>
      <c r="EW259" s="775"/>
      <c r="EX259" s="775"/>
      <c r="EY259" s="775"/>
      <c r="EZ259" s="775"/>
      <c r="FA259" s="775"/>
      <c r="FB259" s="775"/>
      <c r="FC259" s="775"/>
      <c r="FD259" s="775"/>
      <c r="FE259" s="775"/>
      <c r="FF259" s="775"/>
      <c r="FG259" s="775"/>
      <c r="FH259" s="775"/>
      <c r="FI259" s="775"/>
      <c r="FJ259" s="775"/>
      <c r="FK259" s="775"/>
      <c r="FL259" s="775" t="s">
        <v>1620</v>
      </c>
      <c r="FM259" s="775"/>
      <c r="FN259" s="775" t="s">
        <v>1626</v>
      </c>
      <c r="FO259" s="775" t="s">
        <v>1611</v>
      </c>
      <c r="FP259" s="775" t="s">
        <v>59</v>
      </c>
      <c r="FQ259" s="775" t="s">
        <v>1612</v>
      </c>
      <c r="FR259" s="775" t="s">
        <v>1613</v>
      </c>
      <c r="FS259" s="775" t="s">
        <v>1614</v>
      </c>
      <c r="FT259" s="775" t="s">
        <v>1615</v>
      </c>
      <c r="FU259" s="775"/>
      <c r="FV259" s="775"/>
      <c r="FW259" s="775"/>
      <c r="FX259" s="775"/>
      <c r="FY259" s="775"/>
      <c r="FZ259" s="775"/>
      <c r="GA259" s="775"/>
      <c r="GB259" s="775"/>
      <c r="GC259" s="775"/>
      <c r="GD259" s="775"/>
      <c r="GE259" s="775"/>
      <c r="GF259" s="775"/>
      <c r="GG259" s="775"/>
    </row>
    <row r="260" spans="70:189">
      <c r="BR260" s="775"/>
      <c r="BS260" s="775" t="s">
        <v>1628</v>
      </c>
      <c r="BT260" s="775"/>
      <c r="BU260" s="775"/>
      <c r="BV260" s="775" t="s">
        <v>1621</v>
      </c>
      <c r="BW260" s="775"/>
      <c r="BX260" s="775"/>
      <c r="BY260" s="775"/>
      <c r="BZ260" s="775" t="e">
        <f>ABS((CC260-CB260))</f>
        <v>#DIV/0!</v>
      </c>
      <c r="CA260" s="775"/>
      <c r="CB260" s="775">
        <f>V269</f>
        <v>0</v>
      </c>
      <c r="CC260" s="673" t="e">
        <f>CG260</f>
        <v>#DIV/0!</v>
      </c>
      <c r="CD260" s="673">
        <f t="shared" ref="CD260:CD324" si="396">$X$7</f>
        <v>2</v>
      </c>
      <c r="CE260" s="775" t="b">
        <f>IF(CB260&lt;CD260,TRUE,FALSE)</f>
        <v>1</v>
      </c>
      <c r="CF260" s="673"/>
      <c r="CG260" s="775" t="e">
        <f>((100*(-0.0126+0.01475*($X$7*((1/CH260)^0.25))))/(1+(-0.0126+0.01475*($X$7*((1/CH260)^0.25)))))</f>
        <v>#DIV/0!</v>
      </c>
      <c r="CH260" s="775" t="e">
        <f>CI260*(2.65*($W$7/0.03)^0.5-1.35)</f>
        <v>#DIV/0!</v>
      </c>
      <c r="CI260" s="775" t="e">
        <f>((0.03/(2.2*(10^($AS$10+($AT$10*(LOG((0.03*($AB$7+$AC$7))/CB260))))))))</f>
        <v>#DIV/0!</v>
      </c>
      <c r="CJ260" s="775" t="e">
        <f>($W$7/(2.2*((0.976*CI260+0.022)^0.625)))</f>
        <v>#DIV/0!</v>
      </c>
      <c r="CK260" s="775" t="e">
        <f>($W$7/(2.2*((0.956*CI260+0.037)^0.5)))</f>
        <v>#DIV/0!</v>
      </c>
      <c r="CL260" s="775" t="e">
        <f>$X$7*((1/CH260)^0.25)</f>
        <v>#DIV/0!</v>
      </c>
      <c r="CM260" s="775" t="e">
        <f>$X$7*((1/CI260)^0.25)</f>
        <v>#DIV/0!</v>
      </c>
      <c r="CN260" s="775" t="e">
        <f>IF($R$30&lt;=40,$AF$7/(CH260^0.25)/SQRT((($AV$10+($AE$7/(CH260^0.25))))),IF($R$30&gt;40,$AF$7/(CH260^0.25)/SQRT((($AW$10+($AE$7/(CH260^0.25))))),""))</f>
        <v>#DIV/0!</v>
      </c>
      <c r="CO260" s="775" t="e">
        <f>IF($R$30&lt;=40,$AF$7/(CI260^0.25)/SQRT((($AV$10+($AE$7/(CI260^0.25))))),IF($R$30&gt;40,$AF$7/(CI260^0.25)/SQRT((($AW$10+($AE$7/(CI260^0.25))))),""))</f>
        <v>#DIV/0!</v>
      </c>
      <c r="CP260" s="775" t="e">
        <f>CH260*($AB$7+$AC$7)</f>
        <v>#DIV/0!</v>
      </c>
      <c r="CQ260" s="775" t="e">
        <f>CP260/$AQ$101</f>
        <v>#DIV/0!</v>
      </c>
      <c r="CR260" s="775" t="e">
        <f>$W$7/CH260</f>
        <v>#DIV/0!</v>
      </c>
      <c r="CS260" s="775" t="e">
        <f>CR260/2.2</f>
        <v>#DIV/0!</v>
      </c>
      <c r="CT260" s="775" t="e">
        <f>((100*(-0.0126+0.01475*($X$7*((1/CH260)^0.25))))/(1+(-0.0126+0.01475*($X$7*((1/CH260)^0.25)))))</f>
        <v>#DIV/0!</v>
      </c>
      <c r="CU260" s="775" t="e">
        <f>((100*(-0.0126+0.01475*CO260)/(1+(-0.0126+0.01475*CO260))))</f>
        <v>#DIV/0!</v>
      </c>
      <c r="CV260" s="775"/>
      <c r="CW260" s="775"/>
      <c r="CX260" s="775" t="s">
        <v>1628</v>
      </c>
      <c r="CY260" s="775"/>
      <c r="CZ260" s="775"/>
      <c r="DA260" s="775" t="s">
        <v>1621</v>
      </c>
      <c r="DB260" s="775"/>
      <c r="DC260" s="775"/>
      <c r="DD260" s="775"/>
      <c r="DE260" s="775">
        <f>ABS((DH260-DG260))</f>
        <v>3.2364929437675016</v>
      </c>
      <c r="DF260" s="775"/>
      <c r="DG260" s="775">
        <f>DJ253</f>
        <v>50</v>
      </c>
      <c r="DH260" s="673">
        <f>DL260</f>
        <v>46.763507056232498</v>
      </c>
      <c r="DI260" s="673">
        <f>$DG$253</f>
        <v>26</v>
      </c>
      <c r="DJ260" s="775" t="b">
        <f>IF(DG260&lt;DI260,TRUE,FALSE)</f>
        <v>0</v>
      </c>
      <c r="DK260" s="673"/>
      <c r="DL260" s="775">
        <f>((100*(-0.0126+0.01475*($DG$253*((1/DM260)^0.25))))/(1+(-0.0126+0.01475*($DG$253*((1/DM260)^0.25)))))</f>
        <v>46.763507056232498</v>
      </c>
      <c r="DM260" s="775">
        <f>DN260*(2.65*($DN$253/0.03)^0.5-1.35)</f>
        <v>3.4318612518765293E-2</v>
      </c>
      <c r="DN260" s="775">
        <f>((0.03/(2.2*(10^($AS$12+($AT$12*(LOG((0.03*($AB$9+$AC$9))/DG260))))))))</f>
        <v>1.6855321054693045E-3</v>
      </c>
      <c r="DO260" s="775">
        <f>($DN$253/(2.2*((0.976*DN260+0.022)^0.625)))</f>
        <v>9.5053140361460056</v>
      </c>
      <c r="DP260" s="775">
        <f>($DN$253/(2.2*((0.956*DN260+0.037)^0.5)))</f>
        <v>4.6579718111845931</v>
      </c>
      <c r="DQ260" s="775">
        <f>$DG$253*((1/DM260)^0.25)</f>
        <v>60.407507662247021</v>
      </c>
      <c r="DR260" s="775">
        <f>$DG$253*((1/DN260)^0.25)</f>
        <v>128.31844576696625</v>
      </c>
      <c r="DS260" s="775">
        <f>IF($R$70&lt;=40,$AF$9/(DM260^0.25)/SQRT((($AV$12+($AE$9/(DM260^0.25))))),IF($R$70&gt;40,$AF$9/(DM260^0.25)/SQRT((($AW$12+($AE$9/(DM260^0.25))))),""))</f>
        <v>34.688689290149128</v>
      </c>
      <c r="DT260" s="775">
        <f>IF($R$70&lt;=40,$AF$9/(DN260^0.25)/SQRT((($AV$12+($AE$9/(DN260^0.25))))),IF($R$70&gt;40,$AF$9/(DN260^0.25)/SQRT((($AW$12+($AE$9/(DN260^0.25))))),""))</f>
        <v>53.281321588739523</v>
      </c>
      <c r="DU260" s="775">
        <f>DM260*($AB$9+$AC$9)</f>
        <v>48.183331976346473</v>
      </c>
      <c r="DV260" s="775">
        <f>DU260/$AS$101</f>
        <v>6.9614988019865631</v>
      </c>
      <c r="DW260" s="775">
        <f>$DN$14/DM260</f>
        <v>33.078260357387023</v>
      </c>
      <c r="DX260" s="775">
        <f>DW260/2.2</f>
        <v>15.035572889721372</v>
      </c>
      <c r="DY260" s="775">
        <f>((100*(-0.0126+0.01475*($DG$253*((1/DM260)^0.25))))/(1+(-0.0126+0.01475*($DG$253*((1/DM260)^0.25)))))</f>
        <v>46.763507056232498</v>
      </c>
      <c r="DZ260" s="775">
        <f>((100*(-0.0126+0.01475*DT260)/(1+(-0.0126+0.01475*DT260))))</f>
        <v>43.607946446567311</v>
      </c>
      <c r="EA260" s="775"/>
      <c r="EB260" s="775"/>
      <c r="EC260" s="775" t="s">
        <v>1621</v>
      </c>
      <c r="ED260" s="775"/>
      <c r="EE260" s="775"/>
      <c r="EF260" s="775"/>
      <c r="EG260" s="775" t="e">
        <f>ABS((EJ260-EI260))</f>
        <v>#DIV/0!</v>
      </c>
      <c r="EH260" s="775"/>
      <c r="EI260" s="775">
        <f>V269</f>
        <v>0</v>
      </c>
      <c r="EJ260" s="673" t="e">
        <f>EN260</f>
        <v>#DIV/0!</v>
      </c>
      <c r="EK260" s="673">
        <f>$Z$7</f>
        <v>2.2510196371999172</v>
      </c>
      <c r="EL260" s="775" t="b">
        <f>IF(EI260&lt;EK260,TRUE,FALSE)</f>
        <v>1</v>
      </c>
      <c r="EM260" s="673"/>
      <c r="EN260" s="775" t="e">
        <f>((100*(-0.0126+0.01475*($X$7*((1/EO260)^0.25))))/(1+(-0.0126+0.01475*($X$7*((1/EO260)^0.25)))))</f>
        <v>#DIV/0!</v>
      </c>
      <c r="EO260" s="775" t="e">
        <f>EP260*(2.65*($W$7/0.03)^0.5-1.35)</f>
        <v>#DIV/0!</v>
      </c>
      <c r="EP260" s="775" t="e">
        <f>((0.03/(2.2*(10^($AS$10+($AT$10*(LOG((0.03*($AB$7+$AC$7))/EI260))))))))</f>
        <v>#DIV/0!</v>
      </c>
      <c r="EQ260" s="775" t="e">
        <f>($W$7/(2.2*((0.976*EP260+0.022)^0.625)))</f>
        <v>#DIV/0!</v>
      </c>
      <c r="ER260" s="775" t="e">
        <f>($W$7/(2.2*((0.956*EP260+0.037)^0.5)))</f>
        <v>#DIV/0!</v>
      </c>
      <c r="ES260" s="775" t="e">
        <f>$X$7*((1/EO260)^0.25)</f>
        <v>#DIV/0!</v>
      </c>
      <c r="ET260" s="775" t="e">
        <f>$X$7*((1/EP260)^0.25)</f>
        <v>#DIV/0!</v>
      </c>
      <c r="EU260" s="775" t="e">
        <f>IF($R$30&lt;=40,$AF$7/(EO260^0.25)/SQRT((($AV$10+($AE$7/(EO260^0.25))))),IF($R$30&gt;40,$AF$7/(EO260^0.25)/SQRT((($AW$10+($AE$7/(EO260^0.25))))),""))</f>
        <v>#DIV/0!</v>
      </c>
      <c r="EV260" s="775" t="e">
        <f>IF($R$30&lt;=40,$AF$7/(EP260^0.25)/SQRT((($AV$10+($AE$7/(EP260^0.25))))),IF($R$30&gt;40,$AF$7/(EP260^0.25)/SQRT((($AW$10+($AE$7/(EP260^0.25))))),""))</f>
        <v>#DIV/0!</v>
      </c>
      <c r="EW260" s="775" t="e">
        <f>EO260*($AB$7+$AC$7)</f>
        <v>#DIV/0!</v>
      </c>
      <c r="EX260" s="775" t="e">
        <f>EW260/$AQ$101</f>
        <v>#DIV/0!</v>
      </c>
      <c r="EY260" s="775" t="e">
        <f>$W$7/EO260</f>
        <v>#DIV/0!</v>
      </c>
      <c r="EZ260" s="775" t="e">
        <f>EY260/2.2</f>
        <v>#DIV/0!</v>
      </c>
      <c r="FA260" s="775" t="e">
        <f>((100*(-0.0126+0.01475*($X$7*((1/EO260)^0.25))))/(1+(-0.0126+0.01475*($X$7*((1/EO260)^0.25)))))</f>
        <v>#DIV/0!</v>
      </c>
      <c r="FB260" s="775" t="e">
        <f>((100*(-0.0126+0.01475*EV260)/(1+(-0.0126+0.01475*EV260))))</f>
        <v>#DIV/0!</v>
      </c>
      <c r="FC260" s="775"/>
      <c r="FD260" s="775"/>
      <c r="FE260" s="775" t="s">
        <v>1628</v>
      </c>
      <c r="FF260" s="775"/>
      <c r="FG260" s="775"/>
      <c r="FH260" s="775" t="s">
        <v>1621</v>
      </c>
      <c r="FI260" s="775"/>
      <c r="FJ260" s="775"/>
      <c r="FK260" s="775"/>
      <c r="FL260" s="775">
        <f>ABS((FO260-FN260))</f>
        <v>6.3920535534326888</v>
      </c>
      <c r="FM260" s="775"/>
      <c r="FN260" s="775">
        <f>DJ253</f>
        <v>50</v>
      </c>
      <c r="FO260" s="673">
        <f>FS260</f>
        <v>43.607946446567311</v>
      </c>
      <c r="FP260" s="673">
        <f>$DQ$253</f>
        <v>31.576723317281619</v>
      </c>
      <c r="FQ260" s="775" t="b">
        <f>IF(FN260&lt;FP260,TRUE,FALSE)</f>
        <v>0</v>
      </c>
      <c r="FR260" s="673"/>
      <c r="FS260" s="775">
        <f>GG260</f>
        <v>43.607946446567311</v>
      </c>
      <c r="FT260" s="775">
        <f>FU260*(2.65*($DN$253/0.03)^0.5-1.35)</f>
        <v>3.4318612518765293E-2</v>
      </c>
      <c r="FU260" s="775">
        <f>((0.03/(2.2*(10^($AS$12+($AT$12*(LOG((0.03*($AB$9+$AC$9))/FN260))))))))</f>
        <v>1.6855321054693045E-3</v>
      </c>
      <c r="FV260" s="775">
        <f>($DN$253/(2.2*((0.976*FU260+0.022)^0.625)))</f>
        <v>9.5053140361460056</v>
      </c>
      <c r="FW260" s="775">
        <f>($DN$253/(2.2*((0.956*FU260+0.037)^0.5)))</f>
        <v>4.6579718111845931</v>
      </c>
      <c r="FX260" s="775">
        <f>$DQ$253*((1/FT260)^0.25)</f>
        <v>73.364275220667054</v>
      </c>
      <c r="FY260" s="775">
        <f>$DQ$253*((1/FU260)^0.25)</f>
        <v>155.84138686488845</v>
      </c>
      <c r="FZ260" s="775">
        <f>IF($R$70&lt;=40,$AF$9/(FT260^0.25)/SQRT((($AV$12+($AE$9/(FT260^0.25))))),IF($R$70&gt;40,$AF$9/(FT260^0.25)/SQRT((($AW$12+($AE$9/(FT260^0.25))))),""))</f>
        <v>34.688689290149128</v>
      </c>
      <c r="GA260" s="775">
        <f>IF($R$70&lt;=40,$AF$9/(FU260^0.25)/SQRT((($AV$12+($AE$9/(FU260^0.25))))),IF($R$70&gt;40,$AF$9/(FU260^0.25)/SQRT((($AW$12+($AE$9/(FU260^0.25))))),""))</f>
        <v>53.281321588739523</v>
      </c>
      <c r="GB260" s="775">
        <f>FT260*($AB$9+$AC$9)</f>
        <v>48.183331976346473</v>
      </c>
      <c r="GC260" s="775">
        <f>GB260/$AS$101</f>
        <v>6.9614988019865631</v>
      </c>
      <c r="GD260" s="775">
        <f>$DN$253/FT260</f>
        <v>58.674232022556104</v>
      </c>
      <c r="GE260" s="775">
        <f>GD260/2.2</f>
        <v>26.670105464798226</v>
      </c>
      <c r="GF260" s="775">
        <f>((100*(-0.0126+0.01475*($DQ$253*((1/FT260)^0.25))))/(1+(-0.0126+0.01475*($DQ$253*((1/FT260)^0.25)))))</f>
        <v>51.679687964469295</v>
      </c>
      <c r="GG260" s="775">
        <f>((100*(-0.0126+0.01475*GA260)/(1+(-0.0126+0.01475*GA260))))</f>
        <v>43.607946446567311</v>
      </c>
    </row>
    <row r="261" spans="70:189">
      <c r="BR261" s="775"/>
      <c r="BS261" s="775"/>
      <c r="BT261" s="775"/>
      <c r="BU261" s="775">
        <f>VLOOKUP(BU263,BZ261:CA360,2,FALSE)</f>
        <v>4</v>
      </c>
      <c r="BV261" s="775" t="s">
        <v>1622</v>
      </c>
      <c r="BW261" s="775"/>
      <c r="BX261" s="775"/>
      <c r="BY261" s="775" t="b">
        <f>IF(BZ261&lt;0.2,TRUE,FALSE)</f>
        <v>0</v>
      </c>
      <c r="BZ261" s="775">
        <f t="shared" ref="BZ261:BZ324" si="397">ABS((CC261-CB261))</f>
        <v>0.6049749691625852</v>
      </c>
      <c r="CA261" s="775">
        <v>1</v>
      </c>
      <c r="CB261" s="775">
        <f>CB260+0.5</f>
        <v>0.5</v>
      </c>
      <c r="CC261" s="673">
        <f t="shared" ref="CC261:CC324" si="398">CG261</f>
        <v>1.1049749691625852</v>
      </c>
      <c r="CD261" s="91">
        <f t="shared" si="396"/>
        <v>2</v>
      </c>
      <c r="CE261" s="775" t="b">
        <f t="shared" ref="CE261:CE324" si="399">IF(CB261&lt;CD261,TRUE,FALSE)</f>
        <v>1</v>
      </c>
      <c r="CF261" s="673"/>
      <c r="CG261" s="775">
        <f t="shared" ref="CG261:CG324" si="400">((100*(-0.0126+0.01475*($X$7*((1/CH261)^0.25))))/(1+(-0.0126+0.01475*($X$7*((1/CH261)^0.25)))))</f>
        <v>1.1049749691625852</v>
      </c>
      <c r="CH261" s="775">
        <f t="shared" ref="CH261:CH324" si="401">CI261*(2.65*($W$7/0.03)^0.5-1.35)</f>
        <v>2.3710280570536808</v>
      </c>
      <c r="CI261" s="775">
        <f t="shared" ref="CI261:CI324" si="402">((0.03/(2.2*(10^($AS$10+($AT$10*(LOG((0.03*($AB$7+$AC$7))/CB261))))))))</f>
        <v>0.15858372396641737</v>
      </c>
      <c r="CJ261" s="775">
        <f t="shared" ref="CJ261:CJ324" si="403">($W$7/(2.2*((0.976*CI261+0.022)^0.625)))</f>
        <v>1.5240790902146102</v>
      </c>
      <c r="CK261" s="775">
        <f t="shared" ref="CK261:CK324" si="404">($W$7/(2.2*((0.956*CI261+0.037)^0.5)))</f>
        <v>1.1881517258235548</v>
      </c>
      <c r="CL261" s="775">
        <f t="shared" ref="CL261:CL324" si="405">$X$7*((1/CH261)^0.25)</f>
        <v>1.6117431101726694</v>
      </c>
      <c r="CM261" s="775">
        <f t="shared" ref="CM261:CM324" si="406">$X$7*((1/CI261)^0.25)</f>
        <v>3.1693145369688045</v>
      </c>
      <c r="CN261" s="775">
        <f t="shared" ref="CN261:CN324" si="407">IF($R$30&lt;=40,$AF$7/(CH261^0.25)/SQRT((($AV$10+($AE$7/(CH261^0.25))))),IF($R$30&gt;40,$AF$7/(CH261^0.25)/SQRT((($AW$10+($AE$7/(CH261^0.25))))),""))</f>
        <v>1.3982460645606491</v>
      </c>
      <c r="CO261" s="775">
        <f t="shared" ref="CO261:CO324" si="408">IF($R$30&lt;=40,$AF$7/(CI261^0.25)/SQRT((($AV$10+($AE$7/(CI261^0.25))))),IF($R$30&gt;40,$AF$7/(CI261^0.25)/SQRT((($AW$10+($AE$7/(CI261^0.25))))),""))</f>
        <v>2.0367960874465618</v>
      </c>
      <c r="CP261" s="775">
        <f t="shared" ref="CP261:CP324" si="409">CH261*($AB$7+$AC$7)</f>
        <v>2963.785071317101</v>
      </c>
      <c r="CQ261" s="775">
        <f t="shared" ref="CQ261:CQ324" si="410">CP261/$AQ$101</f>
        <v>480.44890464901698</v>
      </c>
      <c r="CR261" s="775">
        <f>$W$7/CH261</f>
        <v>0.47877965704490133</v>
      </c>
      <c r="CS261" s="775">
        <f t="shared" ref="CS261:CS324" si="411">CR261/2.2</f>
        <v>0.21762711683859148</v>
      </c>
      <c r="CT261" s="775">
        <f t="shared" ref="CT261:CT324" si="412">((100*(-0.0126+0.01475*($X$7*((1/CH261)^0.25))))/(1+(-0.0126+0.01475*($X$7*((1/CH261)^0.25)))))</f>
        <v>1.1049749691625852</v>
      </c>
      <c r="CU261" s="775">
        <f t="shared" ref="CU261:CU324" si="413">((100*(-0.0126+0.01475*CO261)/(1+(-0.0126+0.01475*CO261))))</f>
        <v>1.7143708991997413</v>
      </c>
      <c r="CV261" s="775"/>
      <c r="CW261" s="775"/>
      <c r="CX261" s="775"/>
      <c r="CY261" s="775"/>
      <c r="CZ261" s="775">
        <f>VLOOKUP(CZ263,DE261:DF360,2,FALSE)</f>
        <v>8</v>
      </c>
      <c r="DA261" s="775" t="s">
        <v>1622</v>
      </c>
      <c r="DB261" s="775"/>
      <c r="DC261" s="775"/>
      <c r="DD261" s="775" t="b">
        <f>IF(DE261&lt;0.2,TRUE,FALSE)</f>
        <v>0</v>
      </c>
      <c r="DE261" s="775">
        <f t="shared" ref="DE261:DE324" si="414">ABS((DH261-DG261))</f>
        <v>2.8054567526142904</v>
      </c>
      <c r="DF261" s="775">
        <v>1</v>
      </c>
      <c r="DG261" s="775">
        <f>DG260-0.5</f>
        <v>49.5</v>
      </c>
      <c r="DH261" s="673">
        <f t="shared" ref="DH261:DH324" si="415">DL261</f>
        <v>46.69454324738571</v>
      </c>
      <c r="DI261" s="673">
        <f t="shared" ref="DI261:DI324" si="416">$DG$253</f>
        <v>26</v>
      </c>
      <c r="DJ261" s="775" t="b">
        <f t="shared" ref="DJ261:DJ324" si="417">IF(DG261&lt;DI261,TRUE,FALSE)</f>
        <v>0</v>
      </c>
      <c r="DK261" s="673"/>
      <c r="DL261" s="775">
        <f t="shared" ref="DL261:DL324" si="418">((100*(-0.0126+0.01475*($DG$253*((1/DM261)^0.25))))/(1+(-0.0126+0.01475*($DG$253*((1/DM261)^0.25)))))</f>
        <v>46.69454324738571</v>
      </c>
      <c r="DM261" s="775">
        <f t="shared" ref="DM261:DM324" si="419">DN261*(2.65*($DN$253/0.03)^0.5-1.35)</f>
        <v>3.4695589013302025E-2</v>
      </c>
      <c r="DN261" s="775">
        <f t="shared" ref="DN261:DN324" si="420">((0.03/(2.2*(10^($AS$12+($AT$12*(LOG((0.03*($AB$9+$AC$9))/DG261))))))))</f>
        <v>1.7040470143748292E-3</v>
      </c>
      <c r="DO261" s="775">
        <f t="shared" ref="DO261:DO324" si="421">($DN$253/(2.2*((0.976*DN261+0.022)^0.625)))</f>
        <v>9.500776631286751</v>
      </c>
      <c r="DP261" s="775">
        <f t="shared" ref="DP261:DP324" si="422">($DN$253/(2.2*((0.956*DN261+0.037)^0.5)))</f>
        <v>4.6569045226361752</v>
      </c>
      <c r="DQ261" s="775">
        <f t="shared" ref="DQ261:DQ324" si="423">$DG$253*((1/DM261)^0.25)</f>
        <v>60.24274905490163</v>
      </c>
      <c r="DR261" s="775">
        <f t="shared" ref="DR261:DR324" si="424">$DG$253*((1/DN261)^0.25)</f>
        <v>127.96846330221211</v>
      </c>
      <c r="DS261" s="775">
        <f t="shared" ref="DS261:DS324" si="425">IF($R$70&lt;=40,$AF$9/(DM261^0.25)/SQRT((($AV$12+($AE$9/(DM261^0.25))))),IF($R$70&gt;40,$AF$9/(DM261^0.25)/SQRT((($AW$12+($AE$9/(DM261^0.25))))),""))</f>
        <v>34.632437511815333</v>
      </c>
      <c r="DT261" s="775">
        <f t="shared" ref="DT261:DT324" si="426">IF($R$70&lt;=40,$AF$9/(DN261^0.25)/SQRT((($AV$12+($AE$9/(DN261^0.25))))),IF($R$70&gt;40,$AF$9/(DN261^0.25)/SQRT((($AW$12+($AE$9/(DN261^0.25))))),""))</f>
        <v>53.201451084189543</v>
      </c>
      <c r="DU261" s="775">
        <f t="shared" ref="DU261:DU324" si="427">DM261*($AB$9+$AC$9)</f>
        <v>48.712606974676042</v>
      </c>
      <c r="DV261" s="775">
        <f t="shared" ref="DV261:DV324" si="428">DU261/$AS$101</f>
        <v>7.0379681351701109</v>
      </c>
      <c r="DW261" s="775">
        <f t="shared" ref="DW261:DW324" si="429">$DN$14/DM261</f>
        <v>32.718856554496682</v>
      </c>
      <c r="DX261" s="775">
        <f t="shared" ref="DX261:DX324" si="430">DW261/2.2</f>
        <v>14.872207524771218</v>
      </c>
      <c r="DY261" s="775">
        <f t="shared" ref="DY261:DY324" si="431">((100*(-0.0126+0.01475*($DG$253*((1/DM261)^0.25))))/(1+(-0.0126+0.01475*($DG$253*((1/DM261)^0.25)))))</f>
        <v>46.69454324738571</v>
      </c>
      <c r="DZ261" s="775">
        <f t="shared" ref="DZ261:DZ324" si="432">((100*(-0.0126+0.01475*DT261)/(1+(-0.0126+0.01475*DT261))))</f>
        <v>43.570457530189771</v>
      </c>
      <c r="EA261" s="775"/>
      <c r="EB261" s="775">
        <f>VLOOKUP(EB263,EG261:EH360,2,FALSE)</f>
        <v>4</v>
      </c>
      <c r="EC261" s="775" t="s">
        <v>1622</v>
      </c>
      <c r="ED261" s="775"/>
      <c r="EE261" s="775"/>
      <c r="EF261" s="775" t="b">
        <f>IF(EG261&lt;0.2,TRUE,FALSE)</f>
        <v>0</v>
      </c>
      <c r="EG261" s="775">
        <f t="shared" ref="EG261:EG324" si="433">ABS((EJ261-EI261))</f>
        <v>0.6049749691625852</v>
      </c>
      <c r="EH261" s="775">
        <v>1</v>
      </c>
      <c r="EI261" s="775">
        <f>EI260+0.5</f>
        <v>0.5</v>
      </c>
      <c r="EJ261" s="673">
        <f t="shared" ref="EJ261:EJ324" si="434">EN261</f>
        <v>1.1049749691625852</v>
      </c>
      <c r="EK261" s="673">
        <f t="shared" ref="EK261:EK324" si="435">$Z$7</f>
        <v>2.2510196371999172</v>
      </c>
      <c r="EL261" s="775" t="b">
        <f t="shared" ref="EL261:EL324" si="436">IF(EI261&lt;EK261,TRUE,FALSE)</f>
        <v>1</v>
      </c>
      <c r="EM261" s="673"/>
      <c r="EN261" s="775">
        <f t="shared" ref="EN261:EN324" si="437">((100*(-0.0126+0.01475*($X$7*((1/EO261)^0.25))))/(1+(-0.0126+0.01475*($X$7*((1/EO261)^0.25)))))</f>
        <v>1.1049749691625852</v>
      </c>
      <c r="EO261" s="775">
        <f t="shared" ref="EO261:EO324" si="438">EP261*(2.65*($W$7/0.03)^0.5-1.35)</f>
        <v>2.3710280570536808</v>
      </c>
      <c r="EP261" s="775">
        <f t="shared" ref="EP261:EP324" si="439">((0.03/(2.2*(10^($AS$10+($AT$10*(LOG((0.03*($AB$7+$AC$7))/EI261))))))))</f>
        <v>0.15858372396641737</v>
      </c>
      <c r="EQ261" s="775">
        <f t="shared" ref="EQ261:EQ324" si="440">($W$7/(2.2*((0.976*EP261+0.022)^0.625)))</f>
        <v>1.5240790902146102</v>
      </c>
      <c r="ER261" s="775">
        <f t="shared" ref="ER261:ER324" si="441">($W$7/(2.2*((0.956*EP261+0.037)^0.5)))</f>
        <v>1.1881517258235548</v>
      </c>
      <c r="ES261" s="775">
        <f t="shared" ref="ES261:ES324" si="442">$X$7*((1/EO261)^0.25)</f>
        <v>1.6117431101726694</v>
      </c>
      <c r="ET261" s="775">
        <f t="shared" ref="ET261:ET324" si="443">$X$7*((1/EP261)^0.25)</f>
        <v>3.1693145369688045</v>
      </c>
      <c r="EU261" s="775">
        <f t="shared" ref="EU261:EU324" si="444">IF($R$30&lt;=40,$AF$7/(EO261^0.25)/SQRT((($AV$10+($AE$7/(EO261^0.25))))),IF($R$30&gt;40,$AF$7/(EO261^0.25)/SQRT((($AW$10+($AE$7/(EO261^0.25))))),""))</f>
        <v>1.3982460645606491</v>
      </c>
      <c r="EV261" s="775">
        <f t="shared" ref="EV261:EV324" si="445">IF($R$30&lt;=40,$AF$7/(EP261^0.25)/SQRT((($AV$10+($AE$7/(EP261^0.25))))),IF($R$30&gt;40,$AF$7/(EP261^0.25)/SQRT((($AW$10+($AE$7/(EP261^0.25))))),""))</f>
        <v>2.0367960874465618</v>
      </c>
      <c r="EW261" s="775">
        <f t="shared" ref="EW261:EW324" si="446">EO261*($AB$7+$AC$7)</f>
        <v>2963.785071317101</v>
      </c>
      <c r="EX261" s="775">
        <f t="shared" ref="EX261:EX324" si="447">EW261/$AQ$101</f>
        <v>480.44890464901698</v>
      </c>
      <c r="EY261" s="775">
        <f>$W$7/EO261</f>
        <v>0.47877965704490133</v>
      </c>
      <c r="EZ261" s="775">
        <f t="shared" ref="EZ261:EZ324" si="448">EY261/2.2</f>
        <v>0.21762711683859148</v>
      </c>
      <c r="FA261" s="775">
        <f t="shared" ref="FA261:FA324" si="449">((100*(-0.0126+0.01475*($X$7*((1/EO261)^0.25))))/(1+(-0.0126+0.01475*($X$7*((1/EO261)^0.25)))))</f>
        <v>1.1049749691625852</v>
      </c>
      <c r="FB261" s="775">
        <f t="shared" ref="FB261:FB324" si="450">((100*(-0.0126+0.01475*EV261)/(1+(-0.0126+0.01475*EV261))))</f>
        <v>1.7143708991997413</v>
      </c>
      <c r="FC261" s="775"/>
      <c r="FD261" s="775"/>
      <c r="FE261" s="775"/>
      <c r="FF261" s="775"/>
      <c r="FG261" s="775">
        <f>VLOOKUP(FG263,FL261:FM360,2,FALSE)</f>
        <v>14</v>
      </c>
      <c r="FH261" s="775" t="s">
        <v>1622</v>
      </c>
      <c r="FI261" s="775"/>
      <c r="FJ261" s="775"/>
      <c r="FK261" s="775" t="b">
        <f>IF(FL261&lt;0.2,TRUE,FALSE)</f>
        <v>0</v>
      </c>
      <c r="FL261" s="775">
        <f t="shared" ref="FL261:FL324" si="451">ABS((FO261-FN261))</f>
        <v>5.9295424698102295</v>
      </c>
      <c r="FM261" s="775">
        <v>1</v>
      </c>
      <c r="FN261" s="775">
        <f>FN260-0.5</f>
        <v>49.5</v>
      </c>
      <c r="FO261" s="673">
        <f t="shared" ref="FO261:FO295" si="452">FS261</f>
        <v>43.570457530189771</v>
      </c>
      <c r="FP261" s="673">
        <f t="shared" ref="FP261:FP324" si="453">$DQ$253</f>
        <v>31.576723317281619</v>
      </c>
      <c r="FQ261" s="775" t="b">
        <f t="shared" ref="FQ261:FQ324" si="454">IF(FN261&lt;FP261,TRUE,FALSE)</f>
        <v>0</v>
      </c>
      <c r="FR261" s="673"/>
      <c r="FS261" s="775">
        <f t="shared" ref="FS261:FS324" si="455">GG261</f>
        <v>43.570457530189771</v>
      </c>
      <c r="FT261" s="775">
        <f t="shared" ref="FT261:FT324" si="456">FU261*(2.65*($DN$253/0.03)^0.5-1.35)</f>
        <v>3.4695589013302025E-2</v>
      </c>
      <c r="FU261" s="775">
        <f t="shared" ref="FU261:FU324" si="457">((0.03/(2.2*(10^($AS$12+($AT$12*(LOG((0.03*($AB$9+$AC$9))/FN261))))))))</f>
        <v>1.7040470143748292E-3</v>
      </c>
      <c r="FV261" s="775">
        <f t="shared" ref="FV261:FV324" si="458">($DN$253/(2.2*((0.976*FU261+0.022)^0.625)))</f>
        <v>9.500776631286751</v>
      </c>
      <c r="FW261" s="775">
        <f t="shared" ref="FW261:FW324" si="459">($DN$253/(2.2*((0.956*FU261+0.037)^0.5)))</f>
        <v>4.6569045226361752</v>
      </c>
      <c r="FX261" s="775">
        <f t="shared" ref="FX261:FX324" si="460">$DQ$253*((1/FT261)^0.25)</f>
        <v>73.164177645348374</v>
      </c>
      <c r="FY261" s="775">
        <f t="shared" ref="FY261:FY324" si="461">$DQ$253*((1/FU261)^0.25)</f>
        <v>155.416336885833</v>
      </c>
      <c r="FZ261" s="775">
        <f t="shared" ref="FZ261:FZ324" si="462">IF($R$70&lt;=40,$AF$9/(FT261^0.25)/SQRT((($AV$12+($AE$9/(FT261^0.25))))),IF($R$70&gt;40,$AF$9/(FT261^0.25)/SQRT((($AW$12+($AE$9/(FT261^0.25))))),""))</f>
        <v>34.632437511815333</v>
      </c>
      <c r="GA261" s="775">
        <f t="shared" ref="GA261:GA324" si="463">IF($R$70&lt;=40,$AF$9/(FU261^0.25)/SQRT((($AV$12+($AE$9/(FU261^0.25))))),IF($R$70&gt;40,$AF$9/(FU261^0.25)/SQRT((($AW$12+($AE$9/(FU261^0.25))))),""))</f>
        <v>53.201451084189543</v>
      </c>
      <c r="GB261" s="775">
        <f t="shared" ref="GB261:GB324" si="464">FT261*($AB$9+$AC$9)</f>
        <v>48.712606974676042</v>
      </c>
      <c r="GC261" s="775">
        <f t="shared" ref="GC261:GC324" si="465">GB261/$AS$101</f>
        <v>7.0379681351701109</v>
      </c>
      <c r="GD261" s="775">
        <f t="shared" ref="GD261:GD324" si="466">$DN$253/FT261</f>
        <v>58.036721407041895</v>
      </c>
      <c r="GE261" s="775">
        <f t="shared" ref="GE261:GE324" si="467">GD261/2.2</f>
        <v>26.380327912291769</v>
      </c>
      <c r="GF261" s="775">
        <f t="shared" ref="GF261:GF324" si="468">((100*(-0.0126+0.01475*($DQ$253*((1/FT261)^0.25))))/(1+(-0.0126+0.01475*($DQ$253*((1/FT261)^0.25)))))</f>
        <v>51.610677791564427</v>
      </c>
      <c r="GG261" s="775">
        <f t="shared" ref="GG261:GG324" si="469">((100*(-0.0126+0.01475*GA261)/(1+(-0.0126+0.01475*GA261))))</f>
        <v>43.570457530189771</v>
      </c>
    </row>
    <row r="262" spans="70:189">
      <c r="BR262" s="775"/>
      <c r="BS262" s="775"/>
      <c r="BT262" s="775"/>
      <c r="BU262" s="775">
        <f>CB262-CB261</f>
        <v>0.5</v>
      </c>
      <c r="BV262" s="775" t="s">
        <v>1623</v>
      </c>
      <c r="BW262" s="775"/>
      <c r="BX262" s="775"/>
      <c r="BY262" s="775" t="b">
        <f t="shared" ref="BY262:BY325" si="470">IF(BZ262&lt;0.2,TRUE,FALSE)</f>
        <v>0</v>
      </c>
      <c r="BZ262" s="775">
        <f t="shared" si="397"/>
        <v>0.53346468356108678</v>
      </c>
      <c r="CA262" s="775">
        <v>2</v>
      </c>
      <c r="CB262" s="775">
        <f>CB261+0.5</f>
        <v>1</v>
      </c>
      <c r="CC262" s="673">
        <f t="shared" si="398"/>
        <v>1.5334646835610868</v>
      </c>
      <c r="CD262" s="91">
        <f t="shared" si="396"/>
        <v>2</v>
      </c>
      <c r="CE262" s="775" t="b">
        <f t="shared" si="399"/>
        <v>1</v>
      </c>
      <c r="CF262" s="673"/>
      <c r="CG262" s="775">
        <f t="shared" si="400"/>
        <v>1.5334646835610868</v>
      </c>
      <c r="CH262" s="775">
        <f t="shared" si="401"/>
        <v>1.2020631876488561</v>
      </c>
      <c r="CI262" s="775">
        <f t="shared" si="402"/>
        <v>8.039873512807702E-2</v>
      </c>
      <c r="CJ262" s="775">
        <f t="shared" si="403"/>
        <v>2.169597665010524</v>
      </c>
      <c r="CK262" s="775">
        <f t="shared" si="404"/>
        <v>1.5291913787991402</v>
      </c>
      <c r="CL262" s="775">
        <f t="shared" si="405"/>
        <v>1.9100651084805327</v>
      </c>
      <c r="CM262" s="775">
        <f t="shared" si="406"/>
        <v>3.7559317466017981</v>
      </c>
      <c r="CN262" s="775">
        <f t="shared" si="407"/>
        <v>1.5402018910009037</v>
      </c>
      <c r="CO262" s="775">
        <f t="shared" si="408"/>
        <v>2.2316048988676767</v>
      </c>
      <c r="CP262" s="775">
        <f t="shared" si="409"/>
        <v>1502.5789845610702</v>
      </c>
      <c r="CQ262" s="775">
        <f t="shared" si="410"/>
        <v>243.57786071180314</v>
      </c>
      <c r="CR262" s="775">
        <f t="shared" ref="CR262:CR325" si="471">$W$7/CH262</f>
        <v>0.94437631204759254</v>
      </c>
      <c r="CS262" s="775">
        <f t="shared" si="411"/>
        <v>0.42926196002163292</v>
      </c>
      <c r="CT262" s="775">
        <f t="shared" si="412"/>
        <v>1.5334646835610868</v>
      </c>
      <c r="CU262" s="775">
        <f t="shared" si="413"/>
        <v>1.9911643871459765</v>
      </c>
      <c r="CV262" s="775"/>
      <c r="CW262" s="775"/>
      <c r="CX262" s="775"/>
      <c r="CY262" s="775"/>
      <c r="CZ262" s="775">
        <f>DG262-DG261</f>
        <v>-0.5</v>
      </c>
      <c r="DA262" s="775" t="s">
        <v>1623</v>
      </c>
      <c r="DB262" s="775"/>
      <c r="DC262" s="775"/>
      <c r="DD262" s="775" t="b">
        <f t="shared" ref="DD262:DD325" si="472">IF(DE262&lt;0.2,TRUE,FALSE)</f>
        <v>0</v>
      </c>
      <c r="DE262" s="775">
        <f t="shared" si="414"/>
        <v>2.3751106401824913</v>
      </c>
      <c r="DF262" s="775">
        <v>2</v>
      </c>
      <c r="DG262" s="775">
        <f t="shared" ref="DG262:DG325" si="473">DG261-0.5</f>
        <v>49</v>
      </c>
      <c r="DH262" s="673">
        <f t="shared" si="415"/>
        <v>46.624889359817509</v>
      </c>
      <c r="DI262" s="673">
        <f t="shared" si="416"/>
        <v>26</v>
      </c>
      <c r="DJ262" s="775" t="b">
        <f t="shared" si="417"/>
        <v>0</v>
      </c>
      <c r="DK262" s="673"/>
      <c r="DL262" s="775">
        <f t="shared" si="418"/>
        <v>46.624889359817509</v>
      </c>
      <c r="DM262" s="775">
        <f t="shared" si="419"/>
        <v>3.5080597115014857E-2</v>
      </c>
      <c r="DN262" s="775">
        <f t="shared" si="420"/>
        <v>1.722956389453671E-3</v>
      </c>
      <c r="DO262" s="775">
        <f t="shared" si="421"/>
        <v>9.4961483637390902</v>
      </c>
      <c r="DP262" s="775">
        <f t="shared" si="422"/>
        <v>4.6558152520651479</v>
      </c>
      <c r="DQ262" s="775">
        <f t="shared" si="423"/>
        <v>60.076773976303357</v>
      </c>
      <c r="DR262" s="775">
        <f t="shared" si="424"/>
        <v>127.61589679275006</v>
      </c>
      <c r="DS262" s="775">
        <f t="shared" si="425"/>
        <v>34.575687211351443</v>
      </c>
      <c r="DT262" s="775">
        <f t="shared" si="426"/>
        <v>53.120873366776394</v>
      </c>
      <c r="DU262" s="775">
        <f t="shared" si="427"/>
        <v>49.253158349480856</v>
      </c>
      <c r="DV262" s="775">
        <f t="shared" si="428"/>
        <v>7.1160666724394561</v>
      </c>
      <c r="DW262" s="775">
        <f t="shared" si="429"/>
        <v>32.359768457707432</v>
      </c>
      <c r="DX262" s="775">
        <f t="shared" si="430"/>
        <v>14.708985662594285</v>
      </c>
      <c r="DY262" s="775">
        <f t="shared" si="431"/>
        <v>46.624889359817509</v>
      </c>
      <c r="DZ262" s="775">
        <f t="shared" si="432"/>
        <v>43.532586126000943</v>
      </c>
      <c r="EA262" s="775"/>
      <c r="EB262" s="775">
        <f>EI262-EI261</f>
        <v>0.5</v>
      </c>
      <c r="EC262" s="775" t="s">
        <v>1623</v>
      </c>
      <c r="ED262" s="775"/>
      <c r="EE262" s="775"/>
      <c r="EF262" s="775" t="b">
        <f t="shared" ref="EF262:EF325" si="474">IF(EG262&lt;0.2,TRUE,FALSE)</f>
        <v>0</v>
      </c>
      <c r="EG262" s="775">
        <f t="shared" si="433"/>
        <v>0.53346468356108678</v>
      </c>
      <c r="EH262" s="775">
        <v>2</v>
      </c>
      <c r="EI262" s="775">
        <f>EI261+0.5</f>
        <v>1</v>
      </c>
      <c r="EJ262" s="673">
        <f t="shared" si="434"/>
        <v>1.5334646835610868</v>
      </c>
      <c r="EK262" s="673">
        <f t="shared" si="435"/>
        <v>2.2510196371999172</v>
      </c>
      <c r="EL262" s="775" t="b">
        <f t="shared" si="436"/>
        <v>1</v>
      </c>
      <c r="EM262" s="673"/>
      <c r="EN262" s="775">
        <f t="shared" si="437"/>
        <v>1.5334646835610868</v>
      </c>
      <c r="EO262" s="775">
        <f t="shared" si="438"/>
        <v>1.2020631876488561</v>
      </c>
      <c r="EP262" s="775">
        <f t="shared" si="439"/>
        <v>8.039873512807702E-2</v>
      </c>
      <c r="EQ262" s="775">
        <f t="shared" si="440"/>
        <v>2.169597665010524</v>
      </c>
      <c r="ER262" s="775">
        <f t="shared" si="441"/>
        <v>1.5291913787991402</v>
      </c>
      <c r="ES262" s="775">
        <f t="shared" si="442"/>
        <v>1.9100651084805327</v>
      </c>
      <c r="ET262" s="775">
        <f t="shared" si="443"/>
        <v>3.7559317466017981</v>
      </c>
      <c r="EU262" s="775">
        <f t="shared" si="444"/>
        <v>1.5402018910009037</v>
      </c>
      <c r="EV262" s="775">
        <f t="shared" si="445"/>
        <v>2.2316048988676767</v>
      </c>
      <c r="EW262" s="775">
        <f t="shared" si="446"/>
        <v>1502.5789845610702</v>
      </c>
      <c r="EX262" s="775">
        <f t="shared" si="447"/>
        <v>243.57786071180314</v>
      </c>
      <c r="EY262" s="775">
        <f t="shared" ref="EY262:EY325" si="475">$W$7/EO262</f>
        <v>0.94437631204759254</v>
      </c>
      <c r="EZ262" s="775">
        <f t="shared" si="448"/>
        <v>0.42926196002163292</v>
      </c>
      <c r="FA262" s="775">
        <f t="shared" si="449"/>
        <v>1.5334646835610868</v>
      </c>
      <c r="FB262" s="775">
        <f t="shared" si="450"/>
        <v>1.9911643871459765</v>
      </c>
      <c r="FC262" s="775"/>
      <c r="FD262" s="775"/>
      <c r="FE262" s="775"/>
      <c r="FF262" s="775"/>
      <c r="FG262" s="775">
        <f>FN262-FN261</f>
        <v>-0.5</v>
      </c>
      <c r="FH262" s="775" t="s">
        <v>1623</v>
      </c>
      <c r="FI262" s="775"/>
      <c r="FJ262" s="775"/>
      <c r="FK262" s="775" t="b">
        <f t="shared" ref="FK262:FK325" si="476">IF(FL262&lt;0.2,TRUE,FALSE)</f>
        <v>0</v>
      </c>
      <c r="FL262" s="775">
        <f t="shared" si="451"/>
        <v>5.4674138739990568</v>
      </c>
      <c r="FM262" s="775">
        <v>2</v>
      </c>
      <c r="FN262" s="775">
        <f t="shared" ref="FN262:FN325" si="477">FN261-0.5</f>
        <v>49</v>
      </c>
      <c r="FO262" s="673">
        <f t="shared" si="452"/>
        <v>43.532586126000943</v>
      </c>
      <c r="FP262" s="673">
        <f t="shared" si="453"/>
        <v>31.576723317281619</v>
      </c>
      <c r="FQ262" s="775" t="b">
        <f t="shared" si="454"/>
        <v>0</v>
      </c>
      <c r="FR262" s="673"/>
      <c r="FS262" s="775">
        <f t="shared" si="455"/>
        <v>43.532586126000943</v>
      </c>
      <c r="FT262" s="775">
        <f t="shared" si="456"/>
        <v>3.5080597115014857E-2</v>
      </c>
      <c r="FU262" s="775">
        <f t="shared" si="457"/>
        <v>1.722956389453671E-3</v>
      </c>
      <c r="FV262" s="775">
        <f t="shared" si="458"/>
        <v>9.4961483637390902</v>
      </c>
      <c r="FW262" s="775">
        <f t="shared" si="459"/>
        <v>4.6558152520651479</v>
      </c>
      <c r="FX262" s="775">
        <f t="shared" si="460"/>
        <v>72.962602678638305</v>
      </c>
      <c r="FY262" s="775">
        <f t="shared" si="461"/>
        <v>154.98814861197829</v>
      </c>
      <c r="FZ262" s="775">
        <f t="shared" si="462"/>
        <v>34.575687211351443</v>
      </c>
      <c r="GA262" s="775">
        <f t="shared" si="463"/>
        <v>53.120873366776394</v>
      </c>
      <c r="GB262" s="775">
        <f t="shared" si="464"/>
        <v>49.253158349480856</v>
      </c>
      <c r="GC262" s="775">
        <f t="shared" si="465"/>
        <v>7.1160666724394561</v>
      </c>
      <c r="GD262" s="775">
        <f t="shared" si="466"/>
        <v>57.39977079114152</v>
      </c>
      <c r="GE262" s="775">
        <f t="shared" si="467"/>
        <v>26.090804905064324</v>
      </c>
      <c r="GF262" s="775">
        <f t="shared" si="468"/>
        <v>51.540958498349553</v>
      </c>
      <c r="GG262" s="775">
        <f t="shared" si="469"/>
        <v>43.532586126000943</v>
      </c>
    </row>
    <row r="263" spans="70:189">
      <c r="BR263" s="775"/>
      <c r="BS263" s="775"/>
      <c r="BT263" s="775"/>
      <c r="BU263" s="775">
        <f>VLOOKUP(TRUE,BY261:CW360,2,FALSE)</f>
        <v>3.6481703304890978E-2</v>
      </c>
      <c r="BV263" s="775" t="s">
        <v>1624</v>
      </c>
      <c r="BW263" s="775"/>
      <c r="BX263" s="775"/>
      <c r="BY263" s="775" t="b">
        <f t="shared" si="470"/>
        <v>0</v>
      </c>
      <c r="BZ263" s="775">
        <f t="shared" si="397"/>
        <v>0.31793066499004086</v>
      </c>
      <c r="CA263" s="775">
        <v>3</v>
      </c>
      <c r="CB263" s="775">
        <f t="shared" ref="CB263:CB326" si="478">CB262+0.5</f>
        <v>1.5</v>
      </c>
      <c r="CC263" s="673">
        <f t="shared" si="398"/>
        <v>1.8179306649900409</v>
      </c>
      <c r="CD263" s="91">
        <f t="shared" si="396"/>
        <v>2</v>
      </c>
      <c r="CE263" s="775" t="b">
        <f t="shared" si="399"/>
        <v>1</v>
      </c>
      <c r="CF263" s="673"/>
      <c r="CG263" s="775">
        <f t="shared" si="400"/>
        <v>1.8179306649900409</v>
      </c>
      <c r="CH263" s="775">
        <f t="shared" si="401"/>
        <v>0.80790047507866392</v>
      </c>
      <c r="CI263" s="775">
        <f t="shared" si="402"/>
        <v>5.4035575644523735E-2</v>
      </c>
      <c r="CJ263" s="775">
        <f t="shared" si="403"/>
        <v>2.6102593504769254</v>
      </c>
      <c r="CK263" s="775">
        <f t="shared" si="404"/>
        <v>1.7329686703982894</v>
      </c>
      <c r="CL263" s="775">
        <f t="shared" si="405"/>
        <v>2.1095534313404274</v>
      </c>
      <c r="CM263" s="775">
        <f t="shared" si="406"/>
        <v>4.1482034663348877</v>
      </c>
      <c r="CN263" s="775">
        <f t="shared" si="407"/>
        <v>1.6285866445511898</v>
      </c>
      <c r="CO263" s="775">
        <f t="shared" si="408"/>
        <v>2.3530422372169237</v>
      </c>
      <c r="CP263" s="775">
        <f t="shared" si="409"/>
        <v>1009.8755938483299</v>
      </c>
      <c r="CQ263" s="775">
        <f t="shared" si="410"/>
        <v>163.70742520832877</v>
      </c>
      <c r="CR263" s="775">
        <f t="shared" si="471"/>
        <v>1.4051235703128748</v>
      </c>
      <c r="CS263" s="775">
        <f t="shared" si="411"/>
        <v>0.63869253196039755</v>
      </c>
      <c r="CT263" s="775">
        <f t="shared" si="412"/>
        <v>1.8179306649900409</v>
      </c>
      <c r="CU263" s="775">
        <f t="shared" si="413"/>
        <v>2.1629208029372413</v>
      </c>
      <c r="CV263" s="775"/>
      <c r="CW263" s="775"/>
      <c r="CX263" s="775"/>
      <c r="CY263" s="775"/>
      <c r="CZ263" s="775">
        <f>VLOOKUP(TRUE,DD261:EB360,2,FALSE)</f>
        <v>0.19167215640424473</v>
      </c>
      <c r="DA263" s="775" t="s">
        <v>1624</v>
      </c>
      <c r="DB263" s="775"/>
      <c r="DC263" s="775"/>
      <c r="DD263" s="775" t="b">
        <f t="shared" si="472"/>
        <v>0</v>
      </c>
      <c r="DE263" s="775">
        <f t="shared" si="414"/>
        <v>1.9454683915543711</v>
      </c>
      <c r="DF263" s="775">
        <v>3</v>
      </c>
      <c r="DG263" s="775">
        <f t="shared" si="473"/>
        <v>48.5</v>
      </c>
      <c r="DH263" s="673">
        <f t="shared" si="415"/>
        <v>46.554531608445629</v>
      </c>
      <c r="DI263" s="673">
        <f t="shared" si="416"/>
        <v>26</v>
      </c>
      <c r="DJ263" s="775" t="b">
        <f t="shared" si="417"/>
        <v>0</v>
      </c>
      <c r="DK263" s="673"/>
      <c r="DL263" s="775">
        <f t="shared" si="418"/>
        <v>46.554531608445629</v>
      </c>
      <c r="DM263" s="775">
        <f t="shared" si="419"/>
        <v>3.5473892541616613E-2</v>
      </c>
      <c r="DN263" s="775">
        <f t="shared" si="420"/>
        <v>1.7422727900834759E-3</v>
      </c>
      <c r="DO263" s="775">
        <f t="shared" si="421"/>
        <v>9.4914265203256569</v>
      </c>
      <c r="DP263" s="775">
        <f t="shared" si="422"/>
        <v>4.6547033237091968</v>
      </c>
      <c r="DQ263" s="775">
        <f t="shared" si="423"/>
        <v>59.909560893079785</v>
      </c>
      <c r="DR263" s="775">
        <f t="shared" si="424"/>
        <v>127.26070049709885</v>
      </c>
      <c r="DS263" s="775">
        <f t="shared" si="425"/>
        <v>34.518428821186305</v>
      </c>
      <c r="DT263" s="775">
        <f t="shared" si="426"/>
        <v>53.039574852634708</v>
      </c>
      <c r="DU263" s="775">
        <f t="shared" si="427"/>
        <v>49.805345128429721</v>
      </c>
      <c r="DV263" s="775">
        <f t="shared" si="428"/>
        <v>7.195846285896085</v>
      </c>
      <c r="DW263" s="775">
        <f t="shared" si="429"/>
        <v>32.000999007036704</v>
      </c>
      <c r="DX263" s="775">
        <f t="shared" si="430"/>
        <v>14.545908639562137</v>
      </c>
      <c r="DY263" s="775">
        <f t="shared" si="431"/>
        <v>46.554531608445629</v>
      </c>
      <c r="DZ263" s="775">
        <f t="shared" si="432"/>
        <v>43.494324396365094</v>
      </c>
      <c r="EA263" s="775"/>
      <c r="EB263" s="775">
        <f>VLOOKUP(TRUE,EF261:FD360,2,FALSE)</f>
        <v>3.6481703304890978E-2</v>
      </c>
      <c r="EC263" s="775" t="s">
        <v>1624</v>
      </c>
      <c r="ED263" s="775"/>
      <c r="EE263" s="775"/>
      <c r="EF263" s="775" t="b">
        <f t="shared" si="474"/>
        <v>0</v>
      </c>
      <c r="EG263" s="775">
        <f t="shared" si="433"/>
        <v>0.31793066499004086</v>
      </c>
      <c r="EH263" s="775">
        <v>3</v>
      </c>
      <c r="EI263" s="775">
        <f t="shared" ref="EI263:EI326" si="479">EI262+0.5</f>
        <v>1.5</v>
      </c>
      <c r="EJ263" s="673">
        <f t="shared" si="434"/>
        <v>1.8179306649900409</v>
      </c>
      <c r="EK263" s="673">
        <f t="shared" si="435"/>
        <v>2.2510196371999172</v>
      </c>
      <c r="EL263" s="775" t="b">
        <f t="shared" si="436"/>
        <v>1</v>
      </c>
      <c r="EM263" s="673"/>
      <c r="EN263" s="775">
        <f t="shared" si="437"/>
        <v>1.8179306649900409</v>
      </c>
      <c r="EO263" s="775">
        <f t="shared" si="438"/>
        <v>0.80790047507866392</v>
      </c>
      <c r="EP263" s="775">
        <f t="shared" si="439"/>
        <v>5.4035575644523735E-2</v>
      </c>
      <c r="EQ263" s="775">
        <f t="shared" si="440"/>
        <v>2.6102593504769254</v>
      </c>
      <c r="ER263" s="775">
        <f t="shared" si="441"/>
        <v>1.7329686703982894</v>
      </c>
      <c r="ES263" s="775">
        <f t="shared" si="442"/>
        <v>2.1095534313404274</v>
      </c>
      <c r="ET263" s="775">
        <f t="shared" si="443"/>
        <v>4.1482034663348877</v>
      </c>
      <c r="EU263" s="775">
        <f t="shared" si="444"/>
        <v>1.6285866445511898</v>
      </c>
      <c r="EV263" s="775">
        <f t="shared" si="445"/>
        <v>2.3530422372169237</v>
      </c>
      <c r="EW263" s="775">
        <f t="shared" si="446"/>
        <v>1009.8755938483299</v>
      </c>
      <c r="EX263" s="775">
        <f t="shared" si="447"/>
        <v>163.70742520832877</v>
      </c>
      <c r="EY263" s="775">
        <f t="shared" si="475"/>
        <v>1.4051235703128748</v>
      </c>
      <c r="EZ263" s="775">
        <f t="shared" si="448"/>
        <v>0.63869253196039755</v>
      </c>
      <c r="FA263" s="775">
        <f t="shared" si="449"/>
        <v>1.8179306649900409</v>
      </c>
      <c r="FB263" s="775">
        <f t="shared" si="450"/>
        <v>2.1629208029372413</v>
      </c>
      <c r="FC263" s="775"/>
      <c r="FD263" s="775"/>
      <c r="FE263" s="775"/>
      <c r="FF263" s="775"/>
      <c r="FG263" s="775">
        <f>VLOOKUP(TRUE,FK261:GI360,2,FALSE)</f>
        <v>4.5176810273531487E-2</v>
      </c>
      <c r="FH263" s="775" t="s">
        <v>1624</v>
      </c>
      <c r="FI263" s="775"/>
      <c r="FJ263" s="775"/>
      <c r="FK263" s="775" t="b">
        <f t="shared" si="476"/>
        <v>0</v>
      </c>
      <c r="FL263" s="775">
        <f t="shared" si="451"/>
        <v>5.0056756036349057</v>
      </c>
      <c r="FM263" s="775">
        <v>3</v>
      </c>
      <c r="FN263" s="775">
        <f t="shared" si="477"/>
        <v>48.5</v>
      </c>
      <c r="FO263" s="673">
        <f t="shared" si="452"/>
        <v>43.494324396365094</v>
      </c>
      <c r="FP263" s="673">
        <f t="shared" si="453"/>
        <v>31.576723317281619</v>
      </c>
      <c r="FQ263" s="775" t="b">
        <f t="shared" si="454"/>
        <v>0</v>
      </c>
      <c r="FR263" s="673"/>
      <c r="FS263" s="775">
        <f t="shared" si="455"/>
        <v>43.494324396365094</v>
      </c>
      <c r="FT263" s="775">
        <f t="shared" si="456"/>
        <v>3.5473892541616613E-2</v>
      </c>
      <c r="FU263" s="775">
        <f t="shared" si="457"/>
        <v>1.7422727900834759E-3</v>
      </c>
      <c r="FV263" s="775">
        <f t="shared" si="458"/>
        <v>9.4914265203256569</v>
      </c>
      <c r="FW263" s="775">
        <f t="shared" si="459"/>
        <v>4.6547033237091968</v>
      </c>
      <c r="FX263" s="775">
        <f t="shared" si="460"/>
        <v>72.7595241684852</v>
      </c>
      <c r="FY263" s="775">
        <f t="shared" si="461"/>
        <v>154.55676649078208</v>
      </c>
      <c r="FZ263" s="775">
        <f t="shared" si="462"/>
        <v>34.518428821186305</v>
      </c>
      <c r="GA263" s="775">
        <f t="shared" si="463"/>
        <v>53.039574852634708</v>
      </c>
      <c r="GB263" s="775">
        <f t="shared" si="464"/>
        <v>49.805345128429721</v>
      </c>
      <c r="GC263" s="775">
        <f t="shared" si="465"/>
        <v>7.195846285896085</v>
      </c>
      <c r="GD263" s="775">
        <f t="shared" si="466"/>
        <v>56.763385389859131</v>
      </c>
      <c r="GE263" s="775">
        <f t="shared" si="467"/>
        <v>25.801538813572332</v>
      </c>
      <c r="GF263" s="775">
        <f t="shared" si="468"/>
        <v>51.470515718692155</v>
      </c>
      <c r="GG263" s="775">
        <f t="shared" si="469"/>
        <v>43.494324396365094</v>
      </c>
    </row>
    <row r="264" spans="70:189">
      <c r="BR264" s="775"/>
      <c r="BS264" s="775"/>
      <c r="BT264" s="775"/>
      <c r="BU264" s="775">
        <f>VLOOKUP(TRUE,BY261:CW360,12,FALSE)</f>
        <v>2.940084125781683</v>
      </c>
      <c r="BV264" s="775" t="s">
        <v>1630</v>
      </c>
      <c r="BW264" s="775"/>
      <c r="BX264" s="775"/>
      <c r="BY264" s="775" t="b">
        <f t="shared" si="470"/>
        <v>1</v>
      </c>
      <c r="BZ264" s="775">
        <f t="shared" si="397"/>
        <v>3.6481703304890978E-2</v>
      </c>
      <c r="CA264" s="775">
        <v>4</v>
      </c>
      <c r="CB264" s="775">
        <f t="shared" si="478"/>
        <v>2</v>
      </c>
      <c r="CC264" s="673">
        <f t="shared" si="398"/>
        <v>2.036481703304891</v>
      </c>
      <c r="CD264" s="91">
        <f t="shared" si="396"/>
        <v>2</v>
      </c>
      <c r="CE264" s="775" t="b">
        <f t="shared" si="399"/>
        <v>0</v>
      </c>
      <c r="CF264" s="673"/>
      <c r="CG264" s="775">
        <f t="shared" si="400"/>
        <v>2.036481703304891</v>
      </c>
      <c r="CH264" s="775">
        <f t="shared" si="401"/>
        <v>0.6094216822115891</v>
      </c>
      <c r="CI264" s="775">
        <f t="shared" si="402"/>
        <v>4.0760529823120652E-2</v>
      </c>
      <c r="CJ264" s="775">
        <f t="shared" si="403"/>
        <v>2.940084125781683</v>
      </c>
      <c r="CK264" s="775">
        <f t="shared" si="404"/>
        <v>1.8721344002754694</v>
      </c>
      <c r="CL264" s="775">
        <f t="shared" si="405"/>
        <v>2.263604352088028</v>
      </c>
      <c r="CM264" s="775">
        <f t="shared" si="406"/>
        <v>4.4511275610477812</v>
      </c>
      <c r="CN264" s="775">
        <f t="shared" si="407"/>
        <v>1.6938237937032092</v>
      </c>
      <c r="CO264" s="775">
        <f t="shared" si="408"/>
        <v>2.4427500521198131</v>
      </c>
      <c r="CP264" s="775">
        <f t="shared" si="409"/>
        <v>761.77710276448636</v>
      </c>
      <c r="CQ264" s="775">
        <f t="shared" si="410"/>
        <v>123.48904046785402</v>
      </c>
      <c r="CR264" s="775">
        <f t="shared" si="471"/>
        <v>1.8627496085803237</v>
      </c>
      <c r="CS264" s="775">
        <f t="shared" si="411"/>
        <v>0.84670436753651068</v>
      </c>
      <c r="CT264" s="775">
        <f t="shared" si="412"/>
        <v>2.036481703304891</v>
      </c>
      <c r="CU264" s="775">
        <f t="shared" si="413"/>
        <v>2.2894140657605164</v>
      </c>
      <c r="CV264" s="775"/>
      <c r="CW264" s="775"/>
      <c r="CX264" s="775"/>
      <c r="CY264" s="775"/>
      <c r="CZ264" s="775">
        <f>VLOOKUP(TRUE,DD261:EB360,12,FALSE)</f>
        <v>9.466310818886619</v>
      </c>
      <c r="DA264" s="775" t="s">
        <v>1630</v>
      </c>
      <c r="DB264" s="775"/>
      <c r="DC264" s="775"/>
      <c r="DD264" s="775" t="b">
        <f t="shared" si="472"/>
        <v>0</v>
      </c>
      <c r="DE264" s="775">
        <f t="shared" si="414"/>
        <v>1.5165442100262325</v>
      </c>
      <c r="DF264" s="775">
        <v>4</v>
      </c>
      <c r="DG264" s="775">
        <f t="shared" si="473"/>
        <v>48</v>
      </c>
      <c r="DH264" s="673">
        <f t="shared" si="415"/>
        <v>46.483455789973767</v>
      </c>
      <c r="DI264" s="673">
        <f t="shared" si="416"/>
        <v>26</v>
      </c>
      <c r="DJ264" s="775" t="b">
        <f t="shared" si="417"/>
        <v>0</v>
      </c>
      <c r="DK264" s="673"/>
      <c r="DL264" s="775">
        <f t="shared" si="418"/>
        <v>46.483455789973767</v>
      </c>
      <c r="DM264" s="775">
        <f t="shared" si="419"/>
        <v>3.5875741902361466E-2</v>
      </c>
      <c r="DN264" s="775">
        <f t="shared" si="420"/>
        <v>1.762009310571517E-3</v>
      </c>
      <c r="DO264" s="775">
        <f t="shared" si="421"/>
        <v>9.4866082796904703</v>
      </c>
      <c r="DP264" s="775">
        <f t="shared" si="422"/>
        <v>4.6535680340443051</v>
      </c>
      <c r="DQ264" s="775">
        <f t="shared" si="423"/>
        <v>59.741087663897204</v>
      </c>
      <c r="DR264" s="775">
        <f t="shared" si="424"/>
        <v>126.90282738233761</v>
      </c>
      <c r="DS264" s="775">
        <f t="shared" si="425"/>
        <v>34.460652489274025</v>
      </c>
      <c r="DT264" s="775">
        <f t="shared" si="426"/>
        <v>52.957541553545617</v>
      </c>
      <c r="DU264" s="775">
        <f t="shared" si="427"/>
        <v>50.369541630915499</v>
      </c>
      <c r="DV264" s="775">
        <f t="shared" si="428"/>
        <v>7.2773610569805722</v>
      </c>
      <c r="DW264" s="775">
        <f t="shared" si="429"/>
        <v>31.642551200461089</v>
      </c>
      <c r="DX264" s="775">
        <f t="shared" si="430"/>
        <v>14.382977818391403</v>
      </c>
      <c r="DY264" s="775">
        <f t="shared" si="431"/>
        <v>46.483455789973767</v>
      </c>
      <c r="DZ264" s="775">
        <f t="shared" si="432"/>
        <v>43.455664260460324</v>
      </c>
      <c r="EA264" s="775"/>
      <c r="EB264" s="775">
        <f>VLOOKUP(TRUE,EF261:FD360,12,FALSE)</f>
        <v>2.940084125781683</v>
      </c>
      <c r="EC264" s="775" t="s">
        <v>1630</v>
      </c>
      <c r="ED264" s="775"/>
      <c r="EE264" s="775"/>
      <c r="EF264" s="775" t="b">
        <f t="shared" si="474"/>
        <v>1</v>
      </c>
      <c r="EG264" s="775">
        <f t="shared" si="433"/>
        <v>3.6481703304890978E-2</v>
      </c>
      <c r="EH264" s="775">
        <v>4</v>
      </c>
      <c r="EI264" s="775">
        <f t="shared" si="479"/>
        <v>2</v>
      </c>
      <c r="EJ264" s="673">
        <f t="shared" si="434"/>
        <v>2.036481703304891</v>
      </c>
      <c r="EK264" s="673">
        <f t="shared" si="435"/>
        <v>2.2510196371999172</v>
      </c>
      <c r="EL264" s="775" t="b">
        <f t="shared" si="436"/>
        <v>1</v>
      </c>
      <c r="EM264" s="673"/>
      <c r="EN264" s="775">
        <f t="shared" si="437"/>
        <v>2.036481703304891</v>
      </c>
      <c r="EO264" s="775">
        <f t="shared" si="438"/>
        <v>0.6094216822115891</v>
      </c>
      <c r="EP264" s="775">
        <f t="shared" si="439"/>
        <v>4.0760529823120652E-2</v>
      </c>
      <c r="EQ264" s="775">
        <f t="shared" si="440"/>
        <v>2.940084125781683</v>
      </c>
      <c r="ER264" s="775">
        <f t="shared" si="441"/>
        <v>1.8721344002754694</v>
      </c>
      <c r="ES264" s="775">
        <f t="shared" si="442"/>
        <v>2.263604352088028</v>
      </c>
      <c r="ET264" s="775">
        <f t="shared" si="443"/>
        <v>4.4511275610477812</v>
      </c>
      <c r="EU264" s="775">
        <f t="shared" si="444"/>
        <v>1.6938237937032092</v>
      </c>
      <c r="EV264" s="775">
        <f t="shared" si="445"/>
        <v>2.4427500521198131</v>
      </c>
      <c r="EW264" s="775">
        <f t="shared" si="446"/>
        <v>761.77710276448636</v>
      </c>
      <c r="EX264" s="775">
        <f t="shared" si="447"/>
        <v>123.48904046785402</v>
      </c>
      <c r="EY264" s="775">
        <f t="shared" si="475"/>
        <v>1.8627496085803237</v>
      </c>
      <c r="EZ264" s="775">
        <f t="shared" si="448"/>
        <v>0.84670436753651068</v>
      </c>
      <c r="FA264" s="775">
        <f t="shared" si="449"/>
        <v>2.036481703304891</v>
      </c>
      <c r="FB264" s="775">
        <f t="shared" si="450"/>
        <v>2.2894140657605164</v>
      </c>
      <c r="FC264" s="775"/>
      <c r="FD264" s="775"/>
      <c r="FE264" s="775"/>
      <c r="FF264" s="775"/>
      <c r="FG264" s="775">
        <f>VLOOKUP(TRUE,FK261:GI360,12,FALSE)</f>
        <v>9.4324140671800354</v>
      </c>
      <c r="FH264" s="775" t="s">
        <v>1630</v>
      </c>
      <c r="FI264" s="775"/>
      <c r="FJ264" s="775"/>
      <c r="FK264" s="775" t="b">
        <f t="shared" si="476"/>
        <v>0</v>
      </c>
      <c r="FL264" s="775">
        <f t="shared" si="451"/>
        <v>4.544335739539676</v>
      </c>
      <c r="FM264" s="775">
        <v>4</v>
      </c>
      <c r="FN264" s="775">
        <f t="shared" si="477"/>
        <v>48</v>
      </c>
      <c r="FO264" s="673">
        <f t="shared" si="452"/>
        <v>43.455664260460324</v>
      </c>
      <c r="FP264" s="673">
        <f t="shared" si="453"/>
        <v>31.576723317281619</v>
      </c>
      <c r="FQ264" s="775" t="b">
        <f t="shared" si="454"/>
        <v>0</v>
      </c>
      <c r="FR264" s="673"/>
      <c r="FS264" s="775">
        <f t="shared" si="455"/>
        <v>43.455664260460324</v>
      </c>
      <c r="FT264" s="775">
        <f t="shared" si="456"/>
        <v>3.5875741902361466E-2</v>
      </c>
      <c r="FU264" s="775">
        <f t="shared" si="457"/>
        <v>1.762009310571517E-3</v>
      </c>
      <c r="FV264" s="775">
        <f t="shared" si="458"/>
        <v>9.4866082796904703</v>
      </c>
      <c r="FW264" s="775">
        <f t="shared" si="459"/>
        <v>4.6535680340443051</v>
      </c>
      <c r="FX264" s="775">
        <f t="shared" si="460"/>
        <v>72.554915224474925</v>
      </c>
      <c r="FY264" s="775">
        <f t="shared" si="461"/>
        <v>154.12213340126246</v>
      </c>
      <c r="FZ264" s="775">
        <f t="shared" si="462"/>
        <v>34.460652489274025</v>
      </c>
      <c r="GA264" s="775">
        <f t="shared" si="463"/>
        <v>52.957541553545617</v>
      </c>
      <c r="GB264" s="775">
        <f t="shared" si="464"/>
        <v>50.369541630915499</v>
      </c>
      <c r="GC264" s="775">
        <f t="shared" si="465"/>
        <v>7.2773610569805722</v>
      </c>
      <c r="GD264" s="775">
        <f t="shared" si="466"/>
        <v>56.127570521006845</v>
      </c>
      <c r="GE264" s="775">
        <f t="shared" si="467"/>
        <v>25.51253205500311</v>
      </c>
      <c r="GF264" s="775">
        <f t="shared" si="468"/>
        <v>51.399334646522298</v>
      </c>
      <c r="GG264" s="775">
        <f t="shared" si="469"/>
        <v>43.455664260460324</v>
      </c>
    </row>
    <row r="265" spans="70:189" ht="15.5">
      <c r="BR265" s="775"/>
      <c r="BS265" s="775"/>
      <c r="BT265" s="775"/>
      <c r="BU265" s="775">
        <f>VLOOKUP(TRUE,BY261:CW360,13,FALSE)</f>
        <v>1.8721344002754694</v>
      </c>
      <c r="BV265" s="1056" t="s">
        <v>915</v>
      </c>
      <c r="BW265" s="1057"/>
      <c r="BX265" s="1058"/>
      <c r="BY265" s="775" t="b">
        <f t="shared" si="470"/>
        <v>0</v>
      </c>
      <c r="BZ265" s="775">
        <f t="shared" si="397"/>
        <v>0.28379689537320152</v>
      </c>
      <c r="CA265" s="775">
        <v>5</v>
      </c>
      <c r="CB265" s="775">
        <f t="shared" si="478"/>
        <v>2.5</v>
      </c>
      <c r="CC265" s="673">
        <f t="shared" si="398"/>
        <v>2.2162031046267985</v>
      </c>
      <c r="CD265" s="91">
        <f t="shared" si="396"/>
        <v>2</v>
      </c>
      <c r="CE265" s="775" t="b">
        <f t="shared" si="399"/>
        <v>0</v>
      </c>
      <c r="CF265" s="673"/>
      <c r="CG265" s="775">
        <f t="shared" si="400"/>
        <v>2.2162031046267985</v>
      </c>
      <c r="CH265" s="775">
        <f t="shared" si="401"/>
        <v>0.48971802448845358</v>
      </c>
      <c r="CI265" s="775">
        <f t="shared" si="402"/>
        <v>3.2754276266709681E-2</v>
      </c>
      <c r="CJ265" s="775">
        <f t="shared" si="403"/>
        <v>3.1993637952200089</v>
      </c>
      <c r="CK265" s="775">
        <f t="shared" si="404"/>
        <v>1.9742299793935443</v>
      </c>
      <c r="CL265" s="775">
        <f t="shared" si="405"/>
        <v>2.3908012456751604</v>
      </c>
      <c r="CM265" s="775">
        <f t="shared" si="406"/>
        <v>4.7012461819114906</v>
      </c>
      <c r="CN265" s="775">
        <f t="shared" si="407"/>
        <v>1.7459240797561748</v>
      </c>
      <c r="CO265" s="775">
        <f t="shared" si="408"/>
        <v>2.5144388717729145</v>
      </c>
      <c r="CP265" s="775">
        <f t="shared" si="409"/>
        <v>612.14753061056695</v>
      </c>
      <c r="CQ265" s="775">
        <f t="shared" si="410"/>
        <v>99.233110191336323</v>
      </c>
      <c r="CR265" s="775">
        <f t="shared" si="471"/>
        <v>2.3180686501906882</v>
      </c>
      <c r="CS265" s="775">
        <f t="shared" si="411"/>
        <v>1.0536675682684946</v>
      </c>
      <c r="CT265" s="775">
        <f t="shared" si="412"/>
        <v>2.2162031046267985</v>
      </c>
      <c r="CU265" s="775">
        <f t="shared" si="413"/>
        <v>2.3902646000196421</v>
      </c>
      <c r="CV265" s="775"/>
      <c r="CW265" s="775"/>
      <c r="CX265" s="775"/>
      <c r="CY265" s="775"/>
      <c r="CZ265" s="775">
        <f>VLOOKUP(TRUE,DD261:EB360,13,FALSE)</f>
        <v>4.6487781373385433</v>
      </c>
      <c r="DA265" s="1056" t="s">
        <v>915</v>
      </c>
      <c r="DB265" s="1057"/>
      <c r="DC265" s="1058"/>
      <c r="DD265" s="775" t="b">
        <f t="shared" si="472"/>
        <v>0</v>
      </c>
      <c r="DE265" s="775">
        <f t="shared" si="414"/>
        <v>1.088352734249554</v>
      </c>
      <c r="DF265" s="775">
        <v>5</v>
      </c>
      <c r="DG265" s="775">
        <f t="shared" si="473"/>
        <v>47.5</v>
      </c>
      <c r="DH265" s="673">
        <f t="shared" si="415"/>
        <v>46.411647265750446</v>
      </c>
      <c r="DI265" s="673">
        <f t="shared" si="416"/>
        <v>26</v>
      </c>
      <c r="DJ265" s="775" t="b">
        <f t="shared" si="417"/>
        <v>0</v>
      </c>
      <c r="DK265" s="673"/>
      <c r="DL265" s="775">
        <f t="shared" si="418"/>
        <v>46.411647265750446</v>
      </c>
      <c r="DM265" s="775">
        <f t="shared" si="419"/>
        <v>3.6286423281522817E-2</v>
      </c>
      <c r="DN265" s="775">
        <f t="shared" si="420"/>
        <v>1.7821796088117613E-3</v>
      </c>
      <c r="DO265" s="775">
        <f t="shared" si="421"/>
        <v>9.4816907068825547</v>
      </c>
      <c r="DP265" s="775">
        <f t="shared" si="422"/>
        <v>4.6524086503515267</v>
      </c>
      <c r="DQ265" s="775">
        <f t="shared" si="423"/>
        <v>59.571331515758608</v>
      </c>
      <c r="DR265" s="775">
        <f t="shared" si="424"/>
        <v>126.5422290737578</v>
      </c>
      <c r="DS265" s="775">
        <f t="shared" si="425"/>
        <v>34.402348067573747</v>
      </c>
      <c r="DT265" s="775">
        <f t="shared" si="426"/>
        <v>52.874759060541983</v>
      </c>
      <c r="DU265" s="775">
        <f t="shared" si="427"/>
        <v>50.946138287258037</v>
      </c>
      <c r="DV265" s="775">
        <f t="shared" si="428"/>
        <v>7.3606673948305268</v>
      </c>
      <c r="DW265" s="775">
        <f t="shared" si="429"/>
        <v>31.284428095674233</v>
      </c>
      <c r="DX265" s="775">
        <f t="shared" si="430"/>
        <v>14.220194588942832</v>
      </c>
      <c r="DY265" s="775">
        <f t="shared" si="431"/>
        <v>46.411647265750446</v>
      </c>
      <c r="DZ265" s="775">
        <f t="shared" si="432"/>
        <v>43.416597384113935</v>
      </c>
      <c r="EA265" s="775"/>
      <c r="EB265" s="775">
        <f>VLOOKUP(TRUE,EF261:FD360,13,FALSE)</f>
        <v>1.8721344002754694</v>
      </c>
      <c r="EC265" s="1056" t="s">
        <v>915</v>
      </c>
      <c r="ED265" s="1057"/>
      <c r="EE265" s="1058"/>
      <c r="EF265" s="775" t="b">
        <f t="shared" si="474"/>
        <v>0</v>
      </c>
      <c r="EG265" s="775">
        <f t="shared" si="433"/>
        <v>0.28379689537320152</v>
      </c>
      <c r="EH265" s="775">
        <v>5</v>
      </c>
      <c r="EI265" s="775">
        <f t="shared" si="479"/>
        <v>2.5</v>
      </c>
      <c r="EJ265" s="673">
        <f t="shared" si="434"/>
        <v>2.2162031046267985</v>
      </c>
      <c r="EK265" s="673">
        <f t="shared" si="435"/>
        <v>2.2510196371999172</v>
      </c>
      <c r="EL265" s="775" t="b">
        <f t="shared" si="436"/>
        <v>0</v>
      </c>
      <c r="EM265" s="673"/>
      <c r="EN265" s="775">
        <f t="shared" si="437"/>
        <v>2.2162031046267985</v>
      </c>
      <c r="EO265" s="775">
        <f t="shared" si="438"/>
        <v>0.48971802448845358</v>
      </c>
      <c r="EP265" s="775">
        <f t="shared" si="439"/>
        <v>3.2754276266709681E-2</v>
      </c>
      <c r="EQ265" s="775">
        <f t="shared" si="440"/>
        <v>3.1993637952200089</v>
      </c>
      <c r="ER265" s="775">
        <f t="shared" si="441"/>
        <v>1.9742299793935443</v>
      </c>
      <c r="ES265" s="775">
        <f t="shared" si="442"/>
        <v>2.3908012456751604</v>
      </c>
      <c r="ET265" s="775">
        <f t="shared" si="443"/>
        <v>4.7012461819114906</v>
      </c>
      <c r="EU265" s="775">
        <f t="shared" si="444"/>
        <v>1.7459240797561748</v>
      </c>
      <c r="EV265" s="775">
        <f t="shared" si="445"/>
        <v>2.5144388717729145</v>
      </c>
      <c r="EW265" s="775">
        <f t="shared" si="446"/>
        <v>612.14753061056695</v>
      </c>
      <c r="EX265" s="775">
        <f t="shared" si="447"/>
        <v>99.233110191336323</v>
      </c>
      <c r="EY265" s="775">
        <f t="shared" si="475"/>
        <v>2.3180686501906882</v>
      </c>
      <c r="EZ265" s="775">
        <f t="shared" si="448"/>
        <v>1.0536675682684946</v>
      </c>
      <c r="FA265" s="775">
        <f t="shared" si="449"/>
        <v>2.2162031046267985</v>
      </c>
      <c r="FB265" s="775">
        <f t="shared" si="450"/>
        <v>2.3902646000196421</v>
      </c>
      <c r="FC265" s="775"/>
      <c r="FD265" s="775"/>
      <c r="FE265" s="775"/>
      <c r="FF265" s="775"/>
      <c r="FG265" s="775">
        <f>VLOOKUP(TRUE,FK261:GI360,13,FALSE)</f>
        <v>4.6407524784244369</v>
      </c>
      <c r="FH265" s="1056" t="s">
        <v>915</v>
      </c>
      <c r="FI265" s="1057"/>
      <c r="FJ265" s="1058"/>
      <c r="FK265" s="775" t="b">
        <f t="shared" si="476"/>
        <v>0</v>
      </c>
      <c r="FL265" s="775">
        <f t="shared" si="451"/>
        <v>4.0834026158860652</v>
      </c>
      <c r="FM265" s="775">
        <v>5</v>
      </c>
      <c r="FN265" s="775">
        <f t="shared" si="477"/>
        <v>47.5</v>
      </c>
      <c r="FO265" s="673">
        <f t="shared" si="452"/>
        <v>43.416597384113935</v>
      </c>
      <c r="FP265" s="673">
        <f t="shared" si="453"/>
        <v>31.576723317281619</v>
      </c>
      <c r="FQ265" s="775" t="b">
        <f t="shared" si="454"/>
        <v>0</v>
      </c>
      <c r="FR265" s="673"/>
      <c r="FS265" s="775">
        <f t="shared" si="455"/>
        <v>43.416597384113935</v>
      </c>
      <c r="FT265" s="775">
        <f t="shared" si="456"/>
        <v>3.6286423281522817E-2</v>
      </c>
      <c r="FU265" s="775">
        <f t="shared" si="457"/>
        <v>1.7821796088117613E-3</v>
      </c>
      <c r="FV265" s="775">
        <f t="shared" si="458"/>
        <v>9.4816907068825547</v>
      </c>
      <c r="FW265" s="775">
        <f t="shared" si="459"/>
        <v>4.6524086503515267</v>
      </c>
      <c r="FX265" s="775">
        <f t="shared" si="460"/>
        <v>72.348748189044926</v>
      </c>
      <c r="FY265" s="775">
        <f t="shared" si="461"/>
        <v>153.68419059285077</v>
      </c>
      <c r="FZ265" s="775">
        <f t="shared" si="462"/>
        <v>34.402348067573747</v>
      </c>
      <c r="GA265" s="775">
        <f t="shared" si="463"/>
        <v>52.874759060541983</v>
      </c>
      <c r="GB265" s="775">
        <f t="shared" si="464"/>
        <v>50.946138287258037</v>
      </c>
      <c r="GC265" s="775">
        <f t="shared" si="465"/>
        <v>7.3606673948305268</v>
      </c>
      <c r="GD265" s="775">
        <f t="shared" si="466"/>
        <v>55.492331608322921</v>
      </c>
      <c r="GE265" s="775">
        <f t="shared" si="467"/>
        <v>25.223787094692234</v>
      </c>
      <c r="GF265" s="775">
        <f t="shared" si="468"/>
        <v>51.327400017675501</v>
      </c>
      <c r="GG265" s="775">
        <f t="shared" si="469"/>
        <v>43.416597384113935</v>
      </c>
    </row>
    <row r="266" spans="70:189" ht="15.5">
      <c r="BR266" s="775"/>
      <c r="BS266" s="775"/>
      <c r="BT266" s="775"/>
      <c r="BU266" s="775">
        <f>VLOOKUP(TRUE,BY261:CW360,14,FALSE)</f>
        <v>2.263604352088028</v>
      </c>
      <c r="BV266" s="1056" t="s">
        <v>916</v>
      </c>
      <c r="BW266" s="1057"/>
      <c r="BX266" s="1058"/>
      <c r="BY266" s="775" t="b">
        <f t="shared" si="470"/>
        <v>0</v>
      </c>
      <c r="BZ266" s="775">
        <f t="shared" si="397"/>
        <v>0.6300077698712907</v>
      </c>
      <c r="CA266" s="775">
        <v>6</v>
      </c>
      <c r="CB266" s="775">
        <f t="shared" si="478"/>
        <v>3</v>
      </c>
      <c r="CC266" s="673">
        <f t="shared" si="398"/>
        <v>2.3699922301287093</v>
      </c>
      <c r="CD266" s="91">
        <f t="shared" si="396"/>
        <v>2</v>
      </c>
      <c r="CE266" s="775" t="b">
        <f t="shared" si="399"/>
        <v>0</v>
      </c>
      <c r="CF266" s="673"/>
      <c r="CG266" s="775">
        <f t="shared" si="400"/>
        <v>2.3699922301287093</v>
      </c>
      <c r="CH266" s="775">
        <f t="shared" si="401"/>
        <v>0.40958917271643969</v>
      </c>
      <c r="CI266" s="775">
        <f t="shared" si="402"/>
        <v>2.7394942085338023E-2</v>
      </c>
      <c r="CJ266" s="775">
        <f t="shared" si="403"/>
        <v>3.4098507868161039</v>
      </c>
      <c r="CK266" s="775">
        <f t="shared" si="404"/>
        <v>2.0527072681480107</v>
      </c>
      <c r="CL266" s="775">
        <f t="shared" si="405"/>
        <v>2.5000165213965495</v>
      </c>
      <c r="CM266" s="775">
        <f t="shared" si="406"/>
        <v>4.9160059403482874</v>
      </c>
      <c r="CN266" s="775">
        <f t="shared" si="407"/>
        <v>1.7894923773842206</v>
      </c>
      <c r="CO266" s="775">
        <f t="shared" si="408"/>
        <v>2.5744187109256473</v>
      </c>
      <c r="CP266" s="775">
        <f t="shared" si="409"/>
        <v>511.9864658955496</v>
      </c>
      <c r="CQ266" s="775">
        <f t="shared" si="410"/>
        <v>82.996347851001048</v>
      </c>
      <c r="CR266" s="775">
        <f t="shared" si="471"/>
        <v>2.7715576377940629</v>
      </c>
      <c r="CS266" s="775">
        <f t="shared" si="411"/>
        <v>1.2597989262700284</v>
      </c>
      <c r="CT266" s="775">
        <f t="shared" si="412"/>
        <v>2.3699922301287093</v>
      </c>
      <c r="CU266" s="775">
        <f t="shared" si="413"/>
        <v>2.4744833347300874</v>
      </c>
      <c r="CV266" s="775"/>
      <c r="CW266" s="775"/>
      <c r="CX266" s="775"/>
      <c r="CY266" s="775"/>
      <c r="CZ266" s="775">
        <f>VLOOKUP(TRUE,DD261:EB360,14,FALSE)</f>
        <v>59.054127821203345</v>
      </c>
      <c r="DA266" s="1056" t="s">
        <v>916</v>
      </c>
      <c r="DB266" s="1057"/>
      <c r="DC266" s="1058"/>
      <c r="DD266" s="775" t="b">
        <f t="shared" si="472"/>
        <v>0</v>
      </c>
      <c r="DE266" s="775">
        <f t="shared" si="414"/>
        <v>0.66090905626171548</v>
      </c>
      <c r="DF266" s="775">
        <v>6</v>
      </c>
      <c r="DG266" s="775">
        <f t="shared" si="473"/>
        <v>47</v>
      </c>
      <c r="DH266" s="673">
        <f t="shared" si="415"/>
        <v>46.339090943738285</v>
      </c>
      <c r="DI266" s="673">
        <f t="shared" si="416"/>
        <v>26</v>
      </c>
      <c r="DJ266" s="775" t="b">
        <f t="shared" si="417"/>
        <v>0</v>
      </c>
      <c r="DK266" s="673"/>
      <c r="DL266" s="775">
        <f t="shared" si="418"/>
        <v>46.339090943738285</v>
      </c>
      <c r="DM266" s="775">
        <f t="shared" si="419"/>
        <v>3.6706226859671572E-2</v>
      </c>
      <c r="DN266" s="775">
        <f t="shared" si="420"/>
        <v>1.8027979367984683E-3</v>
      </c>
      <c r="DO266" s="775">
        <f t="shared" si="421"/>
        <v>9.4766707476120917</v>
      </c>
      <c r="DP266" s="775">
        <f t="shared" si="422"/>
        <v>4.6512244091943655</v>
      </c>
      <c r="DQ266" s="775">
        <f t="shared" si="423"/>
        <v>59.40026901911763</v>
      </c>
      <c r="DR266" s="775">
        <f t="shared" si="424"/>
        <v>126.1788558019996</v>
      </c>
      <c r="DS266" s="775">
        <f t="shared" si="425"/>
        <v>34.343505099936294</v>
      </c>
      <c r="DT266" s="775">
        <f t="shared" si="426"/>
        <v>52.791212526668552</v>
      </c>
      <c r="DU266" s="775">
        <f t="shared" si="427"/>
        <v>51.535542510978885</v>
      </c>
      <c r="DV266" s="775">
        <f t="shared" si="428"/>
        <v>7.4458241623063159</v>
      </c>
      <c r="DW266" s="775">
        <f t="shared" si="429"/>
        <v>30.926632811917329</v>
      </c>
      <c r="DX266" s="775">
        <f t="shared" si="430"/>
        <v>14.057560369053331</v>
      </c>
      <c r="DY266" s="775">
        <f t="shared" si="431"/>
        <v>46.339090943738285</v>
      </c>
      <c r="DZ266" s="775">
        <f t="shared" si="432"/>
        <v>43.377115169101231</v>
      </c>
      <c r="EA266" s="775"/>
      <c r="EB266" s="775">
        <f>VLOOKUP(TRUE,EF261:FD360,14,FALSE)</f>
        <v>2.263604352088028</v>
      </c>
      <c r="EC266" s="1056" t="s">
        <v>916</v>
      </c>
      <c r="ED266" s="1057"/>
      <c r="EE266" s="1058"/>
      <c r="EF266" s="775" t="b">
        <f t="shared" si="474"/>
        <v>0</v>
      </c>
      <c r="EG266" s="775">
        <f t="shared" si="433"/>
        <v>0.6300077698712907</v>
      </c>
      <c r="EH266" s="775">
        <v>6</v>
      </c>
      <c r="EI266" s="775">
        <f t="shared" si="479"/>
        <v>3</v>
      </c>
      <c r="EJ266" s="673">
        <f t="shared" si="434"/>
        <v>2.3699922301287093</v>
      </c>
      <c r="EK266" s="673">
        <f t="shared" si="435"/>
        <v>2.2510196371999172</v>
      </c>
      <c r="EL266" s="775" t="b">
        <f t="shared" si="436"/>
        <v>0</v>
      </c>
      <c r="EM266" s="673"/>
      <c r="EN266" s="775">
        <f t="shared" si="437"/>
        <v>2.3699922301287093</v>
      </c>
      <c r="EO266" s="775">
        <f t="shared" si="438"/>
        <v>0.40958917271643969</v>
      </c>
      <c r="EP266" s="775">
        <f t="shared" si="439"/>
        <v>2.7394942085338023E-2</v>
      </c>
      <c r="EQ266" s="775">
        <f t="shared" si="440"/>
        <v>3.4098507868161039</v>
      </c>
      <c r="ER266" s="775">
        <f t="shared" si="441"/>
        <v>2.0527072681480107</v>
      </c>
      <c r="ES266" s="775">
        <f t="shared" si="442"/>
        <v>2.5000165213965495</v>
      </c>
      <c r="ET266" s="775">
        <f t="shared" si="443"/>
        <v>4.9160059403482874</v>
      </c>
      <c r="EU266" s="775">
        <f t="shared" si="444"/>
        <v>1.7894923773842206</v>
      </c>
      <c r="EV266" s="775">
        <f t="shared" si="445"/>
        <v>2.5744187109256473</v>
      </c>
      <c r="EW266" s="775">
        <f t="shared" si="446"/>
        <v>511.9864658955496</v>
      </c>
      <c r="EX266" s="775">
        <f t="shared" si="447"/>
        <v>82.996347851001048</v>
      </c>
      <c r="EY266" s="775">
        <f t="shared" si="475"/>
        <v>2.7715576377940629</v>
      </c>
      <c r="EZ266" s="775">
        <f t="shared" si="448"/>
        <v>1.2597989262700284</v>
      </c>
      <c r="FA266" s="775">
        <f t="shared" si="449"/>
        <v>2.3699922301287093</v>
      </c>
      <c r="FB266" s="775">
        <f t="shared" si="450"/>
        <v>2.4744833347300874</v>
      </c>
      <c r="FC266" s="775"/>
      <c r="FD266" s="775"/>
      <c r="FE266" s="775"/>
      <c r="FF266" s="775"/>
      <c r="FG266" s="775">
        <f>VLOOKUP(TRUE,FK261:GI360,14,FALSE)</f>
        <v>70.41814583128955</v>
      </c>
      <c r="FH266" s="1056" t="s">
        <v>916</v>
      </c>
      <c r="FI266" s="1057"/>
      <c r="FJ266" s="1058"/>
      <c r="FK266" s="775" t="b">
        <f t="shared" si="476"/>
        <v>0</v>
      </c>
      <c r="FL266" s="775">
        <f t="shared" si="451"/>
        <v>3.6228848308987693</v>
      </c>
      <c r="FM266" s="775">
        <v>6</v>
      </c>
      <c r="FN266" s="775">
        <f t="shared" si="477"/>
        <v>47</v>
      </c>
      <c r="FO266" s="673">
        <f t="shared" si="452"/>
        <v>43.377115169101231</v>
      </c>
      <c r="FP266" s="673">
        <f t="shared" si="453"/>
        <v>31.576723317281619</v>
      </c>
      <c r="FQ266" s="775" t="b">
        <f t="shared" si="454"/>
        <v>0</v>
      </c>
      <c r="FR266" s="673"/>
      <c r="FS266" s="775">
        <f t="shared" si="455"/>
        <v>43.377115169101231</v>
      </c>
      <c r="FT266" s="775">
        <f t="shared" si="456"/>
        <v>3.6706226859671572E-2</v>
      </c>
      <c r="FU266" s="775">
        <f t="shared" si="457"/>
        <v>1.8027979367984683E-3</v>
      </c>
      <c r="FV266" s="775">
        <f t="shared" si="458"/>
        <v>9.4766707476120917</v>
      </c>
      <c r="FW266" s="775">
        <f t="shared" si="459"/>
        <v>4.6512244091943655</v>
      </c>
      <c r="FX266" s="775">
        <f t="shared" si="460"/>
        <v>72.140994607260481</v>
      </c>
      <c r="FY266" s="775">
        <f t="shared" si="461"/>
        <v>153.24287762118908</v>
      </c>
      <c r="FZ266" s="775">
        <f t="shared" si="462"/>
        <v>34.343505099936294</v>
      </c>
      <c r="GA266" s="775">
        <f t="shared" si="463"/>
        <v>52.791212526668552</v>
      </c>
      <c r="GB266" s="775">
        <f t="shared" si="464"/>
        <v>51.535542510978885</v>
      </c>
      <c r="GC266" s="775">
        <f t="shared" si="465"/>
        <v>7.4458241623063159</v>
      </c>
      <c r="GD266" s="775">
        <f t="shared" si="466"/>
        <v>54.857674184718697</v>
      </c>
      <c r="GE266" s="775">
        <f t="shared" si="467"/>
        <v>24.935306447599405</v>
      </c>
      <c r="GF266" s="775">
        <f t="shared" si="468"/>
        <v>51.254696090788507</v>
      </c>
      <c r="GG266" s="775">
        <f t="shared" si="469"/>
        <v>43.377115169101231</v>
      </c>
    </row>
    <row r="267" spans="70:189" ht="15.5">
      <c r="BR267" s="50"/>
      <c r="BS267" s="50"/>
      <c r="BT267" s="50"/>
      <c r="BU267" s="50">
        <f>VLOOKUP(TRUE,BY261:CW360,16,FALSE)</f>
        <v>1.6938237937032092</v>
      </c>
      <c r="BV267" s="1056" t="s">
        <v>613</v>
      </c>
      <c r="BW267" s="1057"/>
      <c r="BX267" s="1058"/>
      <c r="BY267" s="775" t="b">
        <f t="shared" si="470"/>
        <v>0</v>
      </c>
      <c r="BZ267" s="775">
        <f t="shared" si="397"/>
        <v>0.99491301125251663</v>
      </c>
      <c r="CA267" s="775">
        <v>7</v>
      </c>
      <c r="CB267" s="775">
        <f t="shared" si="478"/>
        <v>3.5</v>
      </c>
      <c r="CC267" s="673">
        <f t="shared" si="398"/>
        <v>2.5050869887474834</v>
      </c>
      <c r="CD267" s="91">
        <f t="shared" si="396"/>
        <v>2</v>
      </c>
      <c r="CE267" s="775" t="b">
        <f t="shared" si="399"/>
        <v>0</v>
      </c>
      <c r="CF267" s="673"/>
      <c r="CG267" s="775">
        <f t="shared" si="400"/>
        <v>2.5050869887474834</v>
      </c>
      <c r="CH267" s="775">
        <f t="shared" si="401"/>
        <v>0.35216047737760803</v>
      </c>
      <c r="CI267" s="775">
        <f t="shared" si="402"/>
        <v>2.3553884050503234E-2</v>
      </c>
      <c r="CJ267" s="775">
        <f t="shared" si="403"/>
        <v>3.5847651415992572</v>
      </c>
      <c r="CK267" s="775">
        <f t="shared" si="404"/>
        <v>2.1150825067527959</v>
      </c>
      <c r="CL267" s="775">
        <f t="shared" si="405"/>
        <v>2.5962400323934052</v>
      </c>
      <c r="CM267" s="775">
        <f t="shared" si="406"/>
        <v>5.1052188305884956</v>
      </c>
      <c r="CN267" s="775">
        <f t="shared" si="407"/>
        <v>1.8270460062731997</v>
      </c>
      <c r="CO267" s="775">
        <f t="shared" si="408"/>
        <v>2.6261405509202009</v>
      </c>
      <c r="CP267" s="775">
        <f t="shared" si="409"/>
        <v>440.20059672201006</v>
      </c>
      <c r="CQ267" s="775">
        <f t="shared" si="410"/>
        <v>71.359389912489789</v>
      </c>
      <c r="CR267" s="775">
        <f t="shared" si="471"/>
        <v>3.2235303872068783</v>
      </c>
      <c r="CS267" s="775">
        <f t="shared" si="411"/>
        <v>1.4652410850940354</v>
      </c>
      <c r="CT267" s="775">
        <f t="shared" si="412"/>
        <v>2.5050869887474834</v>
      </c>
      <c r="CU267" s="775">
        <f t="shared" si="413"/>
        <v>2.5469902623541434</v>
      </c>
      <c r="CV267" s="50"/>
      <c r="CW267" s="50"/>
      <c r="CX267" s="50"/>
      <c r="CY267" s="50"/>
      <c r="CZ267" s="50">
        <f>VLOOKUP(TRUE,DD261:EB360,16,FALSE)</f>
        <v>34.224160084578862</v>
      </c>
      <c r="DA267" s="1056" t="s">
        <v>613</v>
      </c>
      <c r="DB267" s="1057"/>
      <c r="DC267" s="1058"/>
      <c r="DD267" s="775" t="b">
        <f t="shared" si="472"/>
        <v>0</v>
      </c>
      <c r="DE267" s="775">
        <f t="shared" si="414"/>
        <v>0.23422874046238462</v>
      </c>
      <c r="DF267" s="775">
        <v>7</v>
      </c>
      <c r="DG267" s="775">
        <f t="shared" si="473"/>
        <v>46.5</v>
      </c>
      <c r="DH267" s="673">
        <f t="shared" si="415"/>
        <v>46.265771259537615</v>
      </c>
      <c r="DI267" s="673">
        <f t="shared" si="416"/>
        <v>26</v>
      </c>
      <c r="DJ267" s="775" t="b">
        <f t="shared" si="417"/>
        <v>0</v>
      </c>
      <c r="DK267" s="673"/>
      <c r="DL267" s="775">
        <f t="shared" si="418"/>
        <v>46.265771259537615</v>
      </c>
      <c r="DM267" s="775">
        <f t="shared" si="419"/>
        <v>3.7135455575636959E-2</v>
      </c>
      <c r="DN267" s="775">
        <f t="shared" si="420"/>
        <v>1.8238791731378871E-3</v>
      </c>
      <c r="DO267" s="775">
        <f t="shared" si="421"/>
        <v>9.4715452221558358</v>
      </c>
      <c r="DP267" s="775">
        <f t="shared" si="422"/>
        <v>4.6500145148001844</v>
      </c>
      <c r="DQ267" s="775">
        <f t="shared" si="423"/>
        <v>59.227876061735408</v>
      </c>
      <c r="DR267" s="775">
        <f t="shared" si="424"/>
        <v>125.81265634751882</v>
      </c>
      <c r="DS267" s="775">
        <f t="shared" si="425"/>
        <v>34.284112809360437</v>
      </c>
      <c r="DT267" s="775">
        <f t="shared" si="426"/>
        <v>52.706886648843756</v>
      </c>
      <c r="DU267" s="775">
        <f t="shared" si="427"/>
        <v>52.138179628194294</v>
      </c>
      <c r="DV267" s="775">
        <f t="shared" si="428"/>
        <v>7.5328928102692085</v>
      </c>
      <c r="DW267" s="775">
        <f t="shared" si="429"/>
        <v>30.56916853188568</v>
      </c>
      <c r="DX267" s="775">
        <f t="shared" si="430"/>
        <v>13.895076605402581</v>
      </c>
      <c r="DY267" s="775">
        <f t="shared" si="431"/>
        <v>46.265771259537615</v>
      </c>
      <c r="DZ267" s="775">
        <f t="shared" si="432"/>
        <v>43.337208741873127</v>
      </c>
      <c r="EA267" s="50"/>
      <c r="EB267" s="50">
        <f>VLOOKUP(TRUE,EF261:FD360,16,FALSE)</f>
        <v>1.6938237937032092</v>
      </c>
      <c r="EC267" s="1056" t="s">
        <v>613</v>
      </c>
      <c r="ED267" s="1057"/>
      <c r="EE267" s="1058"/>
      <c r="EF267" s="775" t="b">
        <f t="shared" si="474"/>
        <v>0</v>
      </c>
      <c r="EG267" s="775">
        <f t="shared" si="433"/>
        <v>0.99491301125251663</v>
      </c>
      <c r="EH267" s="775">
        <v>7</v>
      </c>
      <c r="EI267" s="775">
        <f t="shared" si="479"/>
        <v>3.5</v>
      </c>
      <c r="EJ267" s="673">
        <f t="shared" si="434"/>
        <v>2.5050869887474834</v>
      </c>
      <c r="EK267" s="673">
        <f t="shared" si="435"/>
        <v>2.2510196371999172</v>
      </c>
      <c r="EL267" s="775" t="b">
        <f t="shared" si="436"/>
        <v>0</v>
      </c>
      <c r="EM267" s="673"/>
      <c r="EN267" s="775">
        <f t="shared" si="437"/>
        <v>2.5050869887474834</v>
      </c>
      <c r="EO267" s="775">
        <f t="shared" si="438"/>
        <v>0.35216047737760803</v>
      </c>
      <c r="EP267" s="775">
        <f t="shared" si="439"/>
        <v>2.3553884050503234E-2</v>
      </c>
      <c r="EQ267" s="775">
        <f t="shared" si="440"/>
        <v>3.5847651415992572</v>
      </c>
      <c r="ER267" s="775">
        <f t="shared" si="441"/>
        <v>2.1150825067527959</v>
      </c>
      <c r="ES267" s="775">
        <f t="shared" si="442"/>
        <v>2.5962400323934052</v>
      </c>
      <c r="ET267" s="775">
        <f t="shared" si="443"/>
        <v>5.1052188305884956</v>
      </c>
      <c r="EU267" s="775">
        <f t="shared" si="444"/>
        <v>1.8270460062731997</v>
      </c>
      <c r="EV267" s="775">
        <f t="shared" si="445"/>
        <v>2.6261405509202009</v>
      </c>
      <c r="EW267" s="775">
        <f t="shared" si="446"/>
        <v>440.20059672201006</v>
      </c>
      <c r="EX267" s="775">
        <f t="shared" si="447"/>
        <v>71.359389912489789</v>
      </c>
      <c r="EY267" s="775">
        <f t="shared" si="475"/>
        <v>3.2235303872068783</v>
      </c>
      <c r="EZ267" s="775">
        <f t="shared" si="448"/>
        <v>1.4652410850940354</v>
      </c>
      <c r="FA267" s="775">
        <f t="shared" si="449"/>
        <v>2.5050869887474834</v>
      </c>
      <c r="FB267" s="775">
        <f t="shared" si="450"/>
        <v>2.5469902623541434</v>
      </c>
      <c r="FC267" s="50"/>
      <c r="FD267" s="50"/>
      <c r="FE267" s="50"/>
      <c r="FF267" s="50"/>
      <c r="FG267" s="50">
        <f>VLOOKUP(TRUE,FK261:GI360,16,FALSE)</f>
        <v>33.85200654334259</v>
      </c>
      <c r="FH267" s="1056" t="s">
        <v>613</v>
      </c>
      <c r="FI267" s="1057"/>
      <c r="FJ267" s="1058"/>
      <c r="FK267" s="775" t="b">
        <f t="shared" si="476"/>
        <v>0</v>
      </c>
      <c r="FL267" s="775">
        <f t="shared" si="451"/>
        <v>3.1627912581268731</v>
      </c>
      <c r="FM267" s="775">
        <v>7</v>
      </c>
      <c r="FN267" s="775">
        <f t="shared" si="477"/>
        <v>46.5</v>
      </c>
      <c r="FO267" s="673">
        <f t="shared" si="452"/>
        <v>43.337208741873127</v>
      </c>
      <c r="FP267" s="673">
        <f t="shared" si="453"/>
        <v>31.576723317281619</v>
      </c>
      <c r="FQ267" s="775" t="b">
        <f t="shared" si="454"/>
        <v>0</v>
      </c>
      <c r="FR267" s="673"/>
      <c r="FS267" s="775">
        <f t="shared" si="455"/>
        <v>43.337208741873127</v>
      </c>
      <c r="FT267" s="775">
        <f t="shared" si="456"/>
        <v>3.7135455575636959E-2</v>
      </c>
      <c r="FU267" s="775">
        <f t="shared" si="457"/>
        <v>1.8238791731378871E-3</v>
      </c>
      <c r="FV267" s="775">
        <f t="shared" si="458"/>
        <v>9.4715452221558358</v>
      </c>
      <c r="FW267" s="775">
        <f t="shared" si="459"/>
        <v>4.6500145148001844</v>
      </c>
      <c r="FX267" s="775">
        <f t="shared" si="460"/>
        <v>71.931625195064086</v>
      </c>
      <c r="FY267" s="775">
        <f t="shared" si="461"/>
        <v>152.79813228068605</v>
      </c>
      <c r="FZ267" s="775">
        <f t="shared" si="462"/>
        <v>34.284112809360437</v>
      </c>
      <c r="GA267" s="775">
        <f t="shared" si="463"/>
        <v>52.706886648843756</v>
      </c>
      <c r="GB267" s="775">
        <f t="shared" si="464"/>
        <v>52.138179628194294</v>
      </c>
      <c r="GC267" s="775">
        <f t="shared" si="465"/>
        <v>7.5328928102692085</v>
      </c>
      <c r="GD267" s="775">
        <f t="shared" si="466"/>
        <v>54.223603895660439</v>
      </c>
      <c r="GE267" s="775">
        <f t="shared" si="467"/>
        <v>24.647092679845652</v>
      </c>
      <c r="GF267" s="775">
        <f t="shared" si="468"/>
        <v>51.181206627187187</v>
      </c>
      <c r="GG267" s="775">
        <f t="shared" si="469"/>
        <v>43.337208741873127</v>
      </c>
    </row>
    <row r="268" spans="70:189" ht="15.5">
      <c r="BR268" s="775"/>
      <c r="BS268" s="775"/>
      <c r="BT268" s="775"/>
      <c r="BU268" s="775">
        <f>VLOOKUP(TRUE,BY261:CW360,10,FALSE)</f>
        <v>0.6094216822115891</v>
      </c>
      <c r="BV268" s="756" t="s">
        <v>536</v>
      </c>
      <c r="BW268" s="775"/>
      <c r="BX268" s="775"/>
      <c r="BY268" s="775" t="b">
        <f t="shared" si="470"/>
        <v>0</v>
      </c>
      <c r="BZ268" s="775">
        <f t="shared" si="397"/>
        <v>1.3740106673977981</v>
      </c>
      <c r="CA268" s="32">
        <v>8</v>
      </c>
      <c r="CB268" s="775">
        <f t="shared" si="478"/>
        <v>4</v>
      </c>
      <c r="CC268" s="673">
        <f t="shared" si="398"/>
        <v>2.6259893326022019</v>
      </c>
      <c r="CD268" s="91">
        <f t="shared" si="396"/>
        <v>2</v>
      </c>
      <c r="CE268" s="775" t="b">
        <f t="shared" si="399"/>
        <v>0</v>
      </c>
      <c r="CF268" s="673"/>
      <c r="CG268" s="775">
        <f t="shared" si="400"/>
        <v>2.6259893326022019</v>
      </c>
      <c r="CH268" s="775">
        <f t="shared" si="401"/>
        <v>0.30896444593401362</v>
      </c>
      <c r="CI268" s="775">
        <f t="shared" si="402"/>
        <v>2.0664762807708691E-2</v>
      </c>
      <c r="CJ268" s="775">
        <f t="shared" si="403"/>
        <v>3.7327604536235928</v>
      </c>
      <c r="CK268" s="775">
        <f t="shared" si="404"/>
        <v>2.1659362701819798</v>
      </c>
      <c r="CL268" s="775">
        <f t="shared" si="405"/>
        <v>2.6825811539314262</v>
      </c>
      <c r="CM268" s="775">
        <f t="shared" si="406"/>
        <v>5.274999095136562</v>
      </c>
      <c r="CN268" s="775">
        <f t="shared" si="407"/>
        <v>1.8601178238688743</v>
      </c>
      <c r="CO268" s="775">
        <f t="shared" si="408"/>
        <v>2.671706585950318</v>
      </c>
      <c r="CP268" s="775">
        <f t="shared" si="409"/>
        <v>386.20555741751701</v>
      </c>
      <c r="CQ268" s="775">
        <f t="shared" si="410"/>
        <v>62.60644161627755</v>
      </c>
      <c r="CR268" s="775">
        <f t="shared" si="471"/>
        <v>3.6742091685282383</v>
      </c>
      <c r="CS268" s="775">
        <f t="shared" si="411"/>
        <v>1.6700950766037446</v>
      </c>
      <c r="CT268" s="775">
        <f t="shared" si="412"/>
        <v>2.6259893326022019</v>
      </c>
      <c r="CU268" s="775">
        <f t="shared" si="413"/>
        <v>2.6107783249052163</v>
      </c>
      <c r="CV268" s="775"/>
      <c r="CW268" s="775"/>
      <c r="CX268" s="775"/>
      <c r="CY268" s="775"/>
      <c r="CZ268" s="775">
        <f>VLOOKUP(TRUE,DD261:EB360,10,FALSE)</f>
        <v>3.757442583228511E-2</v>
      </c>
      <c r="DA268" s="756" t="s">
        <v>536</v>
      </c>
      <c r="DB268" s="775"/>
      <c r="DC268" s="775"/>
      <c r="DD268" s="775" t="b">
        <f t="shared" si="472"/>
        <v>1</v>
      </c>
      <c r="DE268" s="775">
        <f t="shared" si="414"/>
        <v>0.19167215640424473</v>
      </c>
      <c r="DF268" s="32">
        <v>8</v>
      </c>
      <c r="DG268" s="775">
        <f t="shared" si="473"/>
        <v>46</v>
      </c>
      <c r="DH268" s="673">
        <f t="shared" si="415"/>
        <v>46.191672156404245</v>
      </c>
      <c r="DI268" s="673">
        <f t="shared" si="416"/>
        <v>26</v>
      </c>
      <c r="DJ268" s="775" t="b">
        <f t="shared" si="417"/>
        <v>0</v>
      </c>
      <c r="DK268" s="673"/>
      <c r="DL268" s="775">
        <f t="shared" si="418"/>
        <v>46.191672156404245</v>
      </c>
      <c r="DM268" s="775">
        <f t="shared" si="419"/>
        <v>3.757442583228511E-2</v>
      </c>
      <c r="DN268" s="775">
        <f t="shared" si="420"/>
        <v>1.8454388577120227E-3</v>
      </c>
      <c r="DO268" s="775">
        <f t="shared" si="421"/>
        <v>9.466310818886619</v>
      </c>
      <c r="DP268" s="775">
        <f t="shared" si="422"/>
        <v>4.6487781373385433</v>
      </c>
      <c r="DQ268" s="775">
        <f t="shared" si="423"/>
        <v>59.054127821203345</v>
      </c>
      <c r="DR268" s="775">
        <f t="shared" si="424"/>
        <v>125.443577982219</v>
      </c>
      <c r="DS268" s="775">
        <f t="shared" si="425"/>
        <v>34.224160084578862</v>
      </c>
      <c r="DT268" s="775">
        <f t="shared" si="426"/>
        <v>52.62176564876652</v>
      </c>
      <c r="DU268" s="775">
        <f t="shared" si="427"/>
        <v>52.754493868528293</v>
      </c>
      <c r="DV268" s="775">
        <f t="shared" si="428"/>
        <v>7.621937520747899</v>
      </c>
      <c r="DW268" s="775">
        <f t="shared" si="429"/>
        <v>30.212038503715497</v>
      </c>
      <c r="DX268" s="775">
        <f t="shared" si="430"/>
        <v>13.732744774416133</v>
      </c>
      <c r="DY268" s="775">
        <f t="shared" si="431"/>
        <v>46.191672156404245</v>
      </c>
      <c r="DZ268" s="775">
        <f t="shared" si="432"/>
        <v>43.296868941675889</v>
      </c>
      <c r="EA268" s="775"/>
      <c r="EB268" s="775">
        <f>VLOOKUP(TRUE,EF261:FD360,10,FALSE)</f>
        <v>0.6094216822115891</v>
      </c>
      <c r="EC268" s="756" t="s">
        <v>536</v>
      </c>
      <c r="ED268" s="775"/>
      <c r="EE268" s="775"/>
      <c r="EF268" s="775" t="b">
        <f t="shared" si="474"/>
        <v>0</v>
      </c>
      <c r="EG268" s="775">
        <f t="shared" si="433"/>
        <v>1.3740106673977981</v>
      </c>
      <c r="EH268" s="32">
        <v>8</v>
      </c>
      <c r="EI268" s="775">
        <f t="shared" si="479"/>
        <v>4</v>
      </c>
      <c r="EJ268" s="673">
        <f t="shared" si="434"/>
        <v>2.6259893326022019</v>
      </c>
      <c r="EK268" s="673">
        <f t="shared" si="435"/>
        <v>2.2510196371999172</v>
      </c>
      <c r="EL268" s="775" t="b">
        <f t="shared" si="436"/>
        <v>0</v>
      </c>
      <c r="EM268" s="673"/>
      <c r="EN268" s="775">
        <f t="shared" si="437"/>
        <v>2.6259893326022019</v>
      </c>
      <c r="EO268" s="775">
        <f t="shared" si="438"/>
        <v>0.30896444593401362</v>
      </c>
      <c r="EP268" s="775">
        <f t="shared" si="439"/>
        <v>2.0664762807708691E-2</v>
      </c>
      <c r="EQ268" s="775">
        <f t="shared" si="440"/>
        <v>3.7327604536235928</v>
      </c>
      <c r="ER268" s="775">
        <f t="shared" si="441"/>
        <v>2.1659362701819798</v>
      </c>
      <c r="ES268" s="775">
        <f t="shared" si="442"/>
        <v>2.6825811539314262</v>
      </c>
      <c r="ET268" s="775">
        <f t="shared" si="443"/>
        <v>5.274999095136562</v>
      </c>
      <c r="EU268" s="775">
        <f t="shared" si="444"/>
        <v>1.8601178238688743</v>
      </c>
      <c r="EV268" s="775">
        <f t="shared" si="445"/>
        <v>2.671706585950318</v>
      </c>
      <c r="EW268" s="775">
        <f t="shared" si="446"/>
        <v>386.20555741751701</v>
      </c>
      <c r="EX268" s="775">
        <f t="shared" si="447"/>
        <v>62.60644161627755</v>
      </c>
      <c r="EY268" s="775">
        <f t="shared" si="475"/>
        <v>3.6742091685282383</v>
      </c>
      <c r="EZ268" s="775">
        <f t="shared" si="448"/>
        <v>1.6700950766037446</v>
      </c>
      <c r="FA268" s="775">
        <f t="shared" si="449"/>
        <v>2.6259893326022019</v>
      </c>
      <c r="FB268" s="775">
        <f t="shared" si="450"/>
        <v>2.6107783249052163</v>
      </c>
      <c r="FC268" s="775"/>
      <c r="FD268" s="775"/>
      <c r="FE268" s="775"/>
      <c r="FF268" s="775"/>
      <c r="FG268" s="775">
        <f>VLOOKUP(TRUE,FK261:GI360,10,FALSE)</f>
        <v>4.0432435718737302E-2</v>
      </c>
      <c r="FH268" s="756" t="s">
        <v>536</v>
      </c>
      <c r="FI268" s="775"/>
      <c r="FJ268" s="775"/>
      <c r="FK268" s="775" t="b">
        <f t="shared" si="476"/>
        <v>0</v>
      </c>
      <c r="FL268" s="775">
        <f t="shared" si="451"/>
        <v>2.7031310583241108</v>
      </c>
      <c r="FM268" s="32">
        <v>8</v>
      </c>
      <c r="FN268" s="775">
        <f t="shared" si="477"/>
        <v>46</v>
      </c>
      <c r="FO268" s="673">
        <f t="shared" si="452"/>
        <v>43.296868941675889</v>
      </c>
      <c r="FP268" s="673">
        <f t="shared" si="453"/>
        <v>31.576723317281619</v>
      </c>
      <c r="FQ268" s="775" t="b">
        <f t="shared" si="454"/>
        <v>0</v>
      </c>
      <c r="FR268" s="673"/>
      <c r="FS268" s="775">
        <f t="shared" si="455"/>
        <v>43.296868941675889</v>
      </c>
      <c r="FT268" s="775">
        <f t="shared" si="456"/>
        <v>3.757442583228511E-2</v>
      </c>
      <c r="FU268" s="775">
        <f t="shared" si="457"/>
        <v>1.8454388577120227E-3</v>
      </c>
      <c r="FV268" s="775">
        <f t="shared" si="458"/>
        <v>9.466310818886619</v>
      </c>
      <c r="FW268" s="775">
        <f t="shared" si="459"/>
        <v>4.6487781373385433</v>
      </c>
      <c r="FX268" s="775">
        <f t="shared" si="460"/>
        <v>71.720609805904644</v>
      </c>
      <c r="FY268" s="775">
        <f t="shared" si="461"/>
        <v>152.3498905336296</v>
      </c>
      <c r="FZ268" s="775">
        <f t="shared" si="462"/>
        <v>34.224160084578862</v>
      </c>
      <c r="GA268" s="775">
        <f t="shared" si="463"/>
        <v>52.62176564876652</v>
      </c>
      <c r="GB268" s="775">
        <f t="shared" si="464"/>
        <v>52.754493868528293</v>
      </c>
      <c r="GC268" s="775">
        <f t="shared" si="465"/>
        <v>7.621937520747899</v>
      </c>
      <c r="GD268" s="775">
        <f t="shared" si="466"/>
        <v>53.590126502693494</v>
      </c>
      <c r="GE268" s="775">
        <f t="shared" si="467"/>
        <v>24.359148410315221</v>
      </c>
      <c r="GF268" s="775">
        <f t="shared" si="468"/>
        <v>51.106914869702841</v>
      </c>
      <c r="GG268" s="775">
        <f t="shared" si="469"/>
        <v>43.296868941675889</v>
      </c>
    </row>
    <row r="269" spans="70:189" ht="15.5">
      <c r="BR269" s="775"/>
      <c r="BS269" s="775"/>
      <c r="BT269" s="775"/>
      <c r="BU269" s="775">
        <f>VLOOKUP(TRUE,BY261:CW360,18,FALSE)</f>
        <v>761.77710276448636</v>
      </c>
      <c r="BV269" s="756" t="s">
        <v>922</v>
      </c>
      <c r="BW269" s="775"/>
      <c r="BX269" s="775"/>
      <c r="BY269" s="775" t="b">
        <f t="shared" si="470"/>
        <v>0</v>
      </c>
      <c r="BZ269" s="775">
        <f t="shared" si="397"/>
        <v>1.7642942879255994</v>
      </c>
      <c r="CA269" s="775">
        <v>9</v>
      </c>
      <c r="CB269" s="775">
        <f t="shared" si="478"/>
        <v>4.5</v>
      </c>
      <c r="CC269" s="673">
        <f t="shared" si="398"/>
        <v>2.7357057120744006</v>
      </c>
      <c r="CD269" s="91">
        <f t="shared" si="396"/>
        <v>2</v>
      </c>
      <c r="CE269" s="775" t="b">
        <f t="shared" si="399"/>
        <v>0</v>
      </c>
      <c r="CF269" s="673"/>
      <c r="CG269" s="775">
        <f t="shared" si="400"/>
        <v>2.7357057120744006</v>
      </c>
      <c r="CH269" s="775">
        <f t="shared" si="401"/>
        <v>0.2752827726734714</v>
      </c>
      <c r="CI269" s="775">
        <f t="shared" si="402"/>
        <v>1.8411999429735742E-2</v>
      </c>
      <c r="CJ269" s="775">
        <f t="shared" si="403"/>
        <v>3.8598026695944254</v>
      </c>
      <c r="CK269" s="775">
        <f t="shared" si="404"/>
        <v>2.2082382971913863</v>
      </c>
      <c r="CL269" s="775">
        <f t="shared" si="405"/>
        <v>2.7611197166547279</v>
      </c>
      <c r="CM269" s="775">
        <f t="shared" si="406"/>
        <v>5.4294364908856467</v>
      </c>
      <c r="CN269" s="775">
        <f t="shared" si="407"/>
        <v>1.8897133484452033</v>
      </c>
      <c r="CO269" s="775">
        <f t="shared" si="408"/>
        <v>2.7124962744561807</v>
      </c>
      <c r="CP269" s="775">
        <f t="shared" si="409"/>
        <v>344.10346584183924</v>
      </c>
      <c r="CQ269" s="775">
        <f t="shared" si="410"/>
        <v>55.781417772029037</v>
      </c>
      <c r="CR269" s="775">
        <f t="shared" si="471"/>
        <v>4.1237596852692464</v>
      </c>
      <c r="CS269" s="775">
        <f t="shared" si="411"/>
        <v>1.87443622057693</v>
      </c>
      <c r="CT269" s="775">
        <f t="shared" si="412"/>
        <v>2.7357057120744006</v>
      </c>
      <c r="CU269" s="775">
        <f t="shared" si="413"/>
        <v>2.667809169469284</v>
      </c>
      <c r="CV269" s="775"/>
      <c r="CW269" s="775"/>
      <c r="CX269" s="775"/>
      <c r="CY269" s="775"/>
      <c r="CZ269" s="775">
        <f>VLOOKUP(TRUE,DD261:EB360,18,FALSE)</f>
        <v>52.754493868528293</v>
      </c>
      <c r="DA269" s="756" t="s">
        <v>922</v>
      </c>
      <c r="DB269" s="775"/>
      <c r="DC269" s="775"/>
      <c r="DD269" s="775" t="b">
        <f t="shared" si="472"/>
        <v>0</v>
      </c>
      <c r="DE269" s="775">
        <f t="shared" si="414"/>
        <v>0.61677706419639122</v>
      </c>
      <c r="DF269" s="775">
        <v>9</v>
      </c>
      <c r="DG269" s="775">
        <f t="shared" si="473"/>
        <v>45.5</v>
      </c>
      <c r="DH269" s="673">
        <f t="shared" si="415"/>
        <v>46.116777064196391</v>
      </c>
      <c r="DI269" s="673">
        <f t="shared" si="416"/>
        <v>26</v>
      </c>
      <c r="DJ269" s="775" t="b">
        <f t="shared" si="417"/>
        <v>0</v>
      </c>
      <c r="DK269" s="673"/>
      <c r="DL269" s="775">
        <f t="shared" si="418"/>
        <v>46.116777064196391</v>
      </c>
      <c r="DM269" s="775">
        <f t="shared" si="419"/>
        <v>3.8023468249529659E-2</v>
      </c>
      <c r="DN269" s="775">
        <f t="shared" si="420"/>
        <v>1.8674932286621702E-3</v>
      </c>
      <c r="DO269" s="775">
        <f t="shared" si="421"/>
        <v>9.4609640873996632</v>
      </c>
      <c r="DP269" s="775">
        <f t="shared" si="422"/>
        <v>4.6475144110887427</v>
      </c>
      <c r="DQ269" s="775">
        <f t="shared" si="423"/>
        <v>58.878998736047706</v>
      </c>
      <c r="DR269" s="775">
        <f t="shared" si="424"/>
        <v>125.07156640807145</v>
      </c>
      <c r="DS269" s="775">
        <f t="shared" si="425"/>
        <v>34.163635465930824</v>
      </c>
      <c r="DT269" s="775">
        <f t="shared" si="426"/>
        <v>52.535833252806199</v>
      </c>
      <c r="DU269" s="775">
        <f t="shared" si="427"/>
        <v>53.384949422339638</v>
      </c>
      <c r="DV269" s="775">
        <f t="shared" si="428"/>
        <v>7.7130253596860197</v>
      </c>
      <c r="DW269" s="775">
        <f t="shared" si="429"/>
        <v>29.855246043055057</v>
      </c>
      <c r="DX269" s="775">
        <f t="shared" si="430"/>
        <v>13.570566383206843</v>
      </c>
      <c r="DY269" s="775">
        <f t="shared" si="431"/>
        <v>46.116777064196391</v>
      </c>
      <c r="DZ269" s="775">
        <f t="shared" si="432"/>
        <v>43.25608630802283</v>
      </c>
      <c r="EA269" s="775"/>
      <c r="EB269" s="775">
        <f>VLOOKUP(TRUE,EF261:FD360,18,FALSE)</f>
        <v>761.77710276448636</v>
      </c>
      <c r="EC269" s="756" t="s">
        <v>922</v>
      </c>
      <c r="ED269" s="775"/>
      <c r="EE269" s="775"/>
      <c r="EF269" s="775" t="b">
        <f t="shared" si="474"/>
        <v>0</v>
      </c>
      <c r="EG269" s="775">
        <f t="shared" si="433"/>
        <v>1.7642942879255994</v>
      </c>
      <c r="EH269" s="775">
        <v>9</v>
      </c>
      <c r="EI269" s="775">
        <f t="shared" si="479"/>
        <v>4.5</v>
      </c>
      <c r="EJ269" s="673">
        <f t="shared" si="434"/>
        <v>2.7357057120744006</v>
      </c>
      <c r="EK269" s="673">
        <f t="shared" si="435"/>
        <v>2.2510196371999172</v>
      </c>
      <c r="EL269" s="775" t="b">
        <f t="shared" si="436"/>
        <v>0</v>
      </c>
      <c r="EM269" s="673"/>
      <c r="EN269" s="775">
        <f t="shared" si="437"/>
        <v>2.7357057120744006</v>
      </c>
      <c r="EO269" s="775">
        <f t="shared" si="438"/>
        <v>0.2752827726734714</v>
      </c>
      <c r="EP269" s="775">
        <f t="shared" si="439"/>
        <v>1.8411999429735742E-2</v>
      </c>
      <c r="EQ269" s="775">
        <f t="shared" si="440"/>
        <v>3.8598026695944254</v>
      </c>
      <c r="ER269" s="775">
        <f t="shared" si="441"/>
        <v>2.2082382971913863</v>
      </c>
      <c r="ES269" s="775">
        <f t="shared" si="442"/>
        <v>2.7611197166547279</v>
      </c>
      <c r="ET269" s="775">
        <f t="shared" si="443"/>
        <v>5.4294364908856467</v>
      </c>
      <c r="EU269" s="775">
        <f t="shared" si="444"/>
        <v>1.8897133484452033</v>
      </c>
      <c r="EV269" s="775">
        <f t="shared" si="445"/>
        <v>2.7124962744561807</v>
      </c>
      <c r="EW269" s="775">
        <f t="shared" si="446"/>
        <v>344.10346584183924</v>
      </c>
      <c r="EX269" s="775">
        <f t="shared" si="447"/>
        <v>55.781417772029037</v>
      </c>
      <c r="EY269" s="775">
        <f t="shared" si="475"/>
        <v>4.1237596852692464</v>
      </c>
      <c r="EZ269" s="775">
        <f t="shared" si="448"/>
        <v>1.87443622057693</v>
      </c>
      <c r="FA269" s="775">
        <f t="shared" si="449"/>
        <v>2.7357057120744006</v>
      </c>
      <c r="FB269" s="775">
        <f t="shared" si="450"/>
        <v>2.667809169469284</v>
      </c>
      <c r="FC269" s="775"/>
      <c r="FD269" s="775"/>
      <c r="FE269" s="775"/>
      <c r="FF269" s="775"/>
      <c r="FG269" s="775">
        <f>VLOOKUP(TRUE,FK261:GI360,18,FALSE)</f>
        <v>56.767139749107173</v>
      </c>
      <c r="FH269" s="756" t="s">
        <v>922</v>
      </c>
      <c r="FI269" s="775"/>
      <c r="FJ269" s="775"/>
      <c r="FK269" s="775" t="b">
        <f t="shared" si="476"/>
        <v>0</v>
      </c>
      <c r="FL269" s="775">
        <f t="shared" si="451"/>
        <v>2.2439136919771698</v>
      </c>
      <c r="FM269" s="775">
        <v>9</v>
      </c>
      <c r="FN269" s="775">
        <f t="shared" si="477"/>
        <v>45.5</v>
      </c>
      <c r="FO269" s="673">
        <f t="shared" si="452"/>
        <v>43.25608630802283</v>
      </c>
      <c r="FP269" s="673">
        <f t="shared" si="453"/>
        <v>31.576723317281619</v>
      </c>
      <c r="FQ269" s="775" t="b">
        <f t="shared" si="454"/>
        <v>0</v>
      </c>
      <c r="FR269" s="673"/>
      <c r="FS269" s="775">
        <f t="shared" si="455"/>
        <v>43.25608630802283</v>
      </c>
      <c r="FT269" s="775">
        <f t="shared" si="456"/>
        <v>3.8023468249529659E-2</v>
      </c>
      <c r="FU269" s="775">
        <f t="shared" si="457"/>
        <v>1.8674932286621702E-3</v>
      </c>
      <c r="FV269" s="775">
        <f t="shared" si="458"/>
        <v>9.4609640873996632</v>
      </c>
      <c r="FW269" s="775">
        <f t="shared" si="459"/>
        <v>4.6475144110887427</v>
      </c>
      <c r="FX269" s="775">
        <f t="shared" si="460"/>
        <v>71.507917395644327</v>
      </c>
      <c r="FY269" s="775">
        <f t="shared" si="461"/>
        <v>151.89808643564177</v>
      </c>
      <c r="FZ269" s="775">
        <f t="shared" si="462"/>
        <v>34.163635465930824</v>
      </c>
      <c r="GA269" s="775">
        <f t="shared" si="463"/>
        <v>52.535833252806199</v>
      </c>
      <c r="GB269" s="775">
        <f t="shared" si="464"/>
        <v>53.384949422339638</v>
      </c>
      <c r="GC269" s="775">
        <f t="shared" si="465"/>
        <v>7.7130253596860197</v>
      </c>
      <c r="GD269" s="775">
        <f t="shared" si="466"/>
        <v>52.957247887116168</v>
      </c>
      <c r="GE269" s="775">
        <f t="shared" si="467"/>
        <v>24.07147631232553</v>
      </c>
      <c r="GF269" s="775">
        <f t="shared" si="468"/>
        <v>51.031803520346912</v>
      </c>
      <c r="GG269" s="775">
        <f t="shared" si="469"/>
        <v>43.25608630802283</v>
      </c>
    </row>
    <row r="270" spans="70:189" ht="15.5">
      <c r="BR270" s="775"/>
      <c r="BS270" s="775"/>
      <c r="BT270" s="775"/>
      <c r="BU270" s="775">
        <f>VLOOKUP(TRUE,BY261:CW360,19,FALSE)</f>
        <v>123.48904046785402</v>
      </c>
      <c r="BV270" s="756" t="s">
        <v>1524</v>
      </c>
      <c r="BW270" s="775"/>
      <c r="BX270" s="775"/>
      <c r="BY270" s="775" t="b">
        <f t="shared" si="470"/>
        <v>0</v>
      </c>
      <c r="BZ270" s="775">
        <f t="shared" si="397"/>
        <v>2.1636484468447255</v>
      </c>
      <c r="CA270" s="775">
        <v>10</v>
      </c>
      <c r="CB270" s="775">
        <f t="shared" si="478"/>
        <v>5</v>
      </c>
      <c r="CC270" s="673">
        <f t="shared" si="398"/>
        <v>2.8363515531552745</v>
      </c>
      <c r="CD270" s="91">
        <f t="shared" si="396"/>
        <v>2</v>
      </c>
      <c r="CE270" s="775" t="b">
        <f t="shared" si="399"/>
        <v>0</v>
      </c>
      <c r="CF270" s="673"/>
      <c r="CG270" s="775">
        <f t="shared" si="400"/>
        <v>2.8363515531552745</v>
      </c>
      <c r="CH270" s="775">
        <f t="shared" si="401"/>
        <v>0.24827711667705646</v>
      </c>
      <c r="CI270" s="775">
        <f t="shared" si="402"/>
        <v>1.6605754462145916E-2</v>
      </c>
      <c r="CJ270" s="775">
        <f t="shared" si="403"/>
        <v>3.9701674836230314</v>
      </c>
      <c r="CK270" s="775">
        <f t="shared" si="404"/>
        <v>2.2440064224525638</v>
      </c>
      <c r="CL270" s="775">
        <f t="shared" si="405"/>
        <v>2.8333212730077624</v>
      </c>
      <c r="CM270" s="775">
        <f t="shared" si="406"/>
        <v>5.5714128646000223</v>
      </c>
      <c r="CN270" s="775">
        <f t="shared" si="407"/>
        <v>1.9165292454008185</v>
      </c>
      <c r="CO270" s="775">
        <f t="shared" si="408"/>
        <v>2.7494656544956753</v>
      </c>
      <c r="CP270" s="775">
        <f t="shared" si="409"/>
        <v>310.34639584632055</v>
      </c>
      <c r="CQ270" s="775">
        <f t="shared" si="410"/>
        <v>50.309176393776987</v>
      </c>
      <c r="CR270" s="775">
        <f t="shared" si="471"/>
        <v>4.5723102281576677</v>
      </c>
      <c r="CS270" s="775">
        <f t="shared" si="411"/>
        <v>2.078322830980758</v>
      </c>
      <c r="CT270" s="775">
        <f t="shared" si="412"/>
        <v>2.8363515531552745</v>
      </c>
      <c r="CU270" s="775">
        <f t="shared" si="413"/>
        <v>2.7194409075391492</v>
      </c>
      <c r="CV270" s="775"/>
      <c r="CW270" s="775"/>
      <c r="CX270" s="775"/>
      <c r="CY270" s="775"/>
      <c r="CZ270" s="775">
        <f>VLOOKUP(TRUE,DD261:EB360,19,FALSE)</f>
        <v>7.621937520747899</v>
      </c>
      <c r="DA270" s="756" t="s">
        <v>1524</v>
      </c>
      <c r="DB270" s="775"/>
      <c r="DC270" s="775"/>
      <c r="DD270" s="775" t="b">
        <f t="shared" si="472"/>
        <v>0</v>
      </c>
      <c r="DE270" s="775">
        <f t="shared" si="414"/>
        <v>1.041068877181246</v>
      </c>
      <c r="DF270" s="775">
        <v>10</v>
      </c>
      <c r="DG270" s="775">
        <f t="shared" si="473"/>
        <v>45</v>
      </c>
      <c r="DH270" s="673">
        <f t="shared" si="415"/>
        <v>46.041068877181246</v>
      </c>
      <c r="DI270" s="673">
        <f t="shared" si="416"/>
        <v>26</v>
      </c>
      <c r="DJ270" s="775" t="b">
        <f t="shared" si="417"/>
        <v>0</v>
      </c>
      <c r="DK270" s="673"/>
      <c r="DL270" s="775">
        <f t="shared" si="418"/>
        <v>46.041068877181246</v>
      </c>
      <c r="DM270" s="775">
        <f t="shared" si="419"/>
        <v>3.8482928468294993E-2</v>
      </c>
      <c r="DN270" s="775">
        <f t="shared" si="420"/>
        <v>1.8900592618749485E-3</v>
      </c>
      <c r="DO270" s="775">
        <f t="shared" si="421"/>
        <v>9.4555014312061925</v>
      </c>
      <c r="DP270" s="775">
        <f t="shared" si="422"/>
        <v>4.6462224324881722</v>
      </c>
      <c r="DQ270" s="775">
        <f t="shared" si="423"/>
        <v>58.702462475326918</v>
      </c>
      <c r="DR270" s="775">
        <f t="shared" si="424"/>
        <v>124.69656569253355</v>
      </c>
      <c r="DS270" s="775">
        <f t="shared" si="425"/>
        <v>34.102527130475337</v>
      </c>
      <c r="DT270" s="775">
        <f t="shared" si="426"/>
        <v>52.449072670810388</v>
      </c>
      <c r="DU270" s="775">
        <f t="shared" si="427"/>
        <v>54.030031569486169</v>
      </c>
      <c r="DV270" s="775">
        <f t="shared" si="428"/>
        <v>7.8062264400253376</v>
      </c>
      <c r="DW270" s="775">
        <f t="shared" si="429"/>
        <v>29.498794535225134</v>
      </c>
      <c r="DX270" s="775">
        <f t="shared" si="430"/>
        <v>13.408542970556878</v>
      </c>
      <c r="DY270" s="775">
        <f t="shared" si="431"/>
        <v>46.041068877181246</v>
      </c>
      <c r="DZ270" s="775">
        <f t="shared" si="432"/>
        <v>43.214851067475514</v>
      </c>
      <c r="EA270" s="775"/>
      <c r="EB270" s="775">
        <f>VLOOKUP(TRUE,EF261:FD360,19,FALSE)</f>
        <v>123.48904046785402</v>
      </c>
      <c r="EC270" s="756" t="s">
        <v>1524</v>
      </c>
      <c r="ED270" s="775"/>
      <c r="EE270" s="775"/>
      <c r="EF270" s="775" t="b">
        <f t="shared" si="474"/>
        <v>0</v>
      </c>
      <c r="EG270" s="775">
        <f t="shared" si="433"/>
        <v>2.1636484468447255</v>
      </c>
      <c r="EH270" s="775">
        <v>10</v>
      </c>
      <c r="EI270" s="775">
        <f t="shared" si="479"/>
        <v>5</v>
      </c>
      <c r="EJ270" s="673">
        <f t="shared" si="434"/>
        <v>2.8363515531552745</v>
      </c>
      <c r="EK270" s="673">
        <f t="shared" si="435"/>
        <v>2.2510196371999172</v>
      </c>
      <c r="EL270" s="775" t="b">
        <f t="shared" si="436"/>
        <v>0</v>
      </c>
      <c r="EM270" s="673"/>
      <c r="EN270" s="775">
        <f t="shared" si="437"/>
        <v>2.8363515531552745</v>
      </c>
      <c r="EO270" s="775">
        <f t="shared" si="438"/>
        <v>0.24827711667705646</v>
      </c>
      <c r="EP270" s="775">
        <f t="shared" si="439"/>
        <v>1.6605754462145916E-2</v>
      </c>
      <c r="EQ270" s="775">
        <f t="shared" si="440"/>
        <v>3.9701674836230314</v>
      </c>
      <c r="ER270" s="775">
        <f t="shared" si="441"/>
        <v>2.2440064224525638</v>
      </c>
      <c r="ES270" s="775">
        <f t="shared" si="442"/>
        <v>2.8333212730077624</v>
      </c>
      <c r="ET270" s="775">
        <f t="shared" si="443"/>
        <v>5.5714128646000223</v>
      </c>
      <c r="EU270" s="775">
        <f t="shared" si="444"/>
        <v>1.9165292454008185</v>
      </c>
      <c r="EV270" s="775">
        <f t="shared" si="445"/>
        <v>2.7494656544956753</v>
      </c>
      <c r="EW270" s="775">
        <f t="shared" si="446"/>
        <v>310.34639584632055</v>
      </c>
      <c r="EX270" s="775">
        <f t="shared" si="447"/>
        <v>50.309176393776987</v>
      </c>
      <c r="EY270" s="775">
        <f t="shared" si="475"/>
        <v>4.5723102281576677</v>
      </c>
      <c r="EZ270" s="775">
        <f t="shared" si="448"/>
        <v>2.078322830980758</v>
      </c>
      <c r="FA270" s="775">
        <f t="shared" si="449"/>
        <v>2.8363515531552745</v>
      </c>
      <c r="FB270" s="775">
        <f t="shared" si="450"/>
        <v>2.7194409075391492</v>
      </c>
      <c r="FC270" s="775"/>
      <c r="FD270" s="775"/>
      <c r="FE270" s="775"/>
      <c r="FF270" s="775"/>
      <c r="FG270" s="775">
        <f>VLOOKUP(TRUE,FK261:GI360,19,FALSE)</f>
        <v>8.2016821823283639</v>
      </c>
      <c r="FH270" s="756" t="s">
        <v>1524</v>
      </c>
      <c r="FI270" s="775"/>
      <c r="FJ270" s="775"/>
      <c r="FK270" s="775" t="b">
        <f t="shared" si="476"/>
        <v>0</v>
      </c>
      <c r="FL270" s="775">
        <f t="shared" si="451"/>
        <v>1.7851489325244856</v>
      </c>
      <c r="FM270" s="775">
        <v>10</v>
      </c>
      <c r="FN270" s="775">
        <f t="shared" si="477"/>
        <v>45</v>
      </c>
      <c r="FO270" s="673">
        <f t="shared" si="452"/>
        <v>43.214851067475514</v>
      </c>
      <c r="FP270" s="673">
        <f t="shared" si="453"/>
        <v>31.576723317281619</v>
      </c>
      <c r="FQ270" s="775" t="b">
        <f t="shared" si="454"/>
        <v>0</v>
      </c>
      <c r="FR270" s="673"/>
      <c r="FS270" s="775">
        <f t="shared" si="455"/>
        <v>43.214851067475514</v>
      </c>
      <c r="FT270" s="775">
        <f t="shared" si="456"/>
        <v>3.8482928468294993E-2</v>
      </c>
      <c r="FU270" s="775">
        <f t="shared" si="457"/>
        <v>1.8900592618749485E-3</v>
      </c>
      <c r="FV270" s="775">
        <f t="shared" si="458"/>
        <v>9.4555014312061925</v>
      </c>
      <c r="FW270" s="775">
        <f t="shared" si="459"/>
        <v>4.6462224324881722</v>
      </c>
      <c r="FX270" s="775">
        <f t="shared" si="460"/>
        <v>71.293515985634798</v>
      </c>
      <c r="FY270" s="775">
        <f t="shared" si="461"/>
        <v>151.44265205724474</v>
      </c>
      <c r="FZ270" s="775">
        <f t="shared" si="462"/>
        <v>34.102527130475337</v>
      </c>
      <c r="GA270" s="775">
        <f t="shared" si="463"/>
        <v>52.449072670810388</v>
      </c>
      <c r="GB270" s="775">
        <f t="shared" si="464"/>
        <v>54.030031569486169</v>
      </c>
      <c r="GC270" s="775">
        <f t="shared" si="465"/>
        <v>7.8062264400253376</v>
      </c>
      <c r="GD270" s="775">
        <f t="shared" si="466"/>
        <v>52.324974053811864</v>
      </c>
      <c r="GE270" s="775">
        <f t="shared" si="467"/>
        <v>23.784079115369028</v>
      </c>
      <c r="GF270" s="775">
        <f t="shared" si="468"/>
        <v>50.955854716769828</v>
      </c>
      <c r="GG270" s="775">
        <f t="shared" si="469"/>
        <v>43.214851067475514</v>
      </c>
    </row>
    <row r="271" spans="70:189" ht="15.5">
      <c r="BR271" s="775"/>
      <c r="BS271" s="775"/>
      <c r="BT271" s="775"/>
      <c r="BU271" s="775"/>
      <c r="BV271" s="756"/>
      <c r="BW271" s="775"/>
      <c r="BX271" s="775"/>
      <c r="BY271" s="775" t="b">
        <f t="shared" si="470"/>
        <v>0</v>
      </c>
      <c r="BZ271" s="775">
        <f t="shared" si="397"/>
        <v>2.5705237496418225</v>
      </c>
      <c r="CA271" s="775">
        <v>11</v>
      </c>
      <c r="CB271" s="775">
        <f t="shared" si="478"/>
        <v>5.5</v>
      </c>
      <c r="CC271" s="673">
        <f t="shared" si="398"/>
        <v>2.9294762503581775</v>
      </c>
      <c r="CD271" s="91">
        <f t="shared" si="396"/>
        <v>2</v>
      </c>
      <c r="CE271" s="775" t="b">
        <f t="shared" si="399"/>
        <v>0</v>
      </c>
      <c r="CF271" s="673"/>
      <c r="CG271" s="775">
        <f t="shared" si="400"/>
        <v>2.9294762503581775</v>
      </c>
      <c r="CH271" s="775">
        <f t="shared" si="401"/>
        <v>0.22613712251619456</v>
      </c>
      <c r="CI271" s="775">
        <f t="shared" si="402"/>
        <v>1.5124944181483461E-2</v>
      </c>
      <c r="CJ271" s="775">
        <f t="shared" si="403"/>
        <v>4.0670138107039113</v>
      </c>
      <c r="CK271" s="775">
        <f t="shared" si="404"/>
        <v>2.2746634314079071</v>
      </c>
      <c r="CL271" s="775">
        <f t="shared" si="405"/>
        <v>2.9002606500632138</v>
      </c>
      <c r="CM271" s="775">
        <f t="shared" si="406"/>
        <v>5.7030417448219755</v>
      </c>
      <c r="CN271" s="775">
        <f t="shared" si="407"/>
        <v>1.941068876268049</v>
      </c>
      <c r="CO271" s="775">
        <f t="shared" si="408"/>
        <v>2.7833056827053224</v>
      </c>
      <c r="CP271" s="775">
        <f t="shared" si="409"/>
        <v>282.67140314524318</v>
      </c>
      <c r="CQ271" s="775">
        <f t="shared" si="410"/>
        <v>45.82287944259717</v>
      </c>
      <c r="CR271" s="775">
        <f t="shared" si="471"/>
        <v>5.0199630532519217</v>
      </c>
      <c r="CS271" s="775">
        <f t="shared" si="411"/>
        <v>2.2818013878417824</v>
      </c>
      <c r="CT271" s="775">
        <f t="shared" si="412"/>
        <v>2.9294762503581775</v>
      </c>
      <c r="CU271" s="775">
        <f t="shared" si="413"/>
        <v>2.7666541714576156</v>
      </c>
      <c r="CV271" s="775"/>
      <c r="CW271" s="775"/>
      <c r="CX271" s="775"/>
      <c r="CY271" s="775"/>
      <c r="CZ271" s="775"/>
      <c r="DA271" s="756"/>
      <c r="DB271" s="775"/>
      <c r="DC271" s="775"/>
      <c r="DD271" s="775" t="b">
        <f t="shared" si="472"/>
        <v>0</v>
      </c>
      <c r="DE271" s="775">
        <f t="shared" si="414"/>
        <v>1.4645299306258011</v>
      </c>
      <c r="DF271" s="775">
        <v>11</v>
      </c>
      <c r="DG271" s="775">
        <f t="shared" si="473"/>
        <v>44.5</v>
      </c>
      <c r="DH271" s="673">
        <f t="shared" si="415"/>
        <v>45.964529930625801</v>
      </c>
      <c r="DI271" s="673">
        <f t="shared" si="416"/>
        <v>26</v>
      </c>
      <c r="DJ271" s="775" t="b">
        <f t="shared" si="417"/>
        <v>0</v>
      </c>
      <c r="DK271" s="673"/>
      <c r="DL271" s="775">
        <f t="shared" si="418"/>
        <v>45.964529930625801</v>
      </c>
      <c r="DM271" s="775">
        <f t="shared" si="419"/>
        <v>3.8953168009492153E-2</v>
      </c>
      <c r="DN271" s="775">
        <f t="shared" si="420"/>
        <v>1.9131547131702353E-3</v>
      </c>
      <c r="DO271" s="775">
        <f t="shared" si="421"/>
        <v>9.4499190999623721</v>
      </c>
      <c r="DP271" s="775">
        <f t="shared" si="422"/>
        <v>4.644901258052367</v>
      </c>
      <c r="DQ271" s="775">
        <f t="shared" si="423"/>
        <v>58.524491906624803</v>
      </c>
      <c r="DR271" s="775">
        <f t="shared" si="424"/>
        <v>124.31851820055947</v>
      </c>
      <c r="DS271" s="775">
        <f t="shared" si="425"/>
        <v>34.040822876295081</v>
      </c>
      <c r="DT271" s="775">
        <f t="shared" si="426"/>
        <v>52.36146657375896</v>
      </c>
      <c r="DU271" s="775">
        <f t="shared" si="427"/>
        <v>54.690247885326983</v>
      </c>
      <c r="DV271" s="775">
        <f t="shared" si="428"/>
        <v>7.9016140959482213</v>
      </c>
      <c r="DW271" s="775">
        <f t="shared" si="429"/>
        <v>29.142687437472944</v>
      </c>
      <c r="DX271" s="775">
        <f t="shared" si="430"/>
        <v>13.246676107942246</v>
      </c>
      <c r="DY271" s="775">
        <f t="shared" si="431"/>
        <v>45.964529930625801</v>
      </c>
      <c r="DZ271" s="775">
        <f t="shared" si="432"/>
        <v>43.173153119687882</v>
      </c>
      <c r="EA271" s="775"/>
      <c r="EB271" s="775"/>
      <c r="EC271" s="756"/>
      <c r="ED271" s="775"/>
      <c r="EE271" s="775"/>
      <c r="EF271" s="775" t="b">
        <f t="shared" si="474"/>
        <v>0</v>
      </c>
      <c r="EG271" s="775">
        <f t="shared" si="433"/>
        <v>2.5705237496418225</v>
      </c>
      <c r="EH271" s="775">
        <v>11</v>
      </c>
      <c r="EI271" s="775">
        <f t="shared" si="479"/>
        <v>5.5</v>
      </c>
      <c r="EJ271" s="673">
        <f t="shared" si="434"/>
        <v>2.9294762503581775</v>
      </c>
      <c r="EK271" s="673">
        <f t="shared" si="435"/>
        <v>2.2510196371999172</v>
      </c>
      <c r="EL271" s="775" t="b">
        <f t="shared" si="436"/>
        <v>0</v>
      </c>
      <c r="EM271" s="673"/>
      <c r="EN271" s="775">
        <f t="shared" si="437"/>
        <v>2.9294762503581775</v>
      </c>
      <c r="EO271" s="775">
        <f t="shared" si="438"/>
        <v>0.22613712251619456</v>
      </c>
      <c r="EP271" s="775">
        <f t="shared" si="439"/>
        <v>1.5124944181483461E-2</v>
      </c>
      <c r="EQ271" s="775">
        <f t="shared" si="440"/>
        <v>4.0670138107039113</v>
      </c>
      <c r="ER271" s="775">
        <f t="shared" si="441"/>
        <v>2.2746634314079071</v>
      </c>
      <c r="ES271" s="775">
        <f t="shared" si="442"/>
        <v>2.9002606500632138</v>
      </c>
      <c r="ET271" s="775">
        <f t="shared" si="443"/>
        <v>5.7030417448219755</v>
      </c>
      <c r="EU271" s="775">
        <f t="shared" si="444"/>
        <v>1.941068876268049</v>
      </c>
      <c r="EV271" s="775">
        <f t="shared" si="445"/>
        <v>2.7833056827053224</v>
      </c>
      <c r="EW271" s="775">
        <f t="shared" si="446"/>
        <v>282.67140314524318</v>
      </c>
      <c r="EX271" s="775">
        <f t="shared" si="447"/>
        <v>45.82287944259717</v>
      </c>
      <c r="EY271" s="775">
        <f t="shared" si="475"/>
        <v>5.0199630532519217</v>
      </c>
      <c r="EZ271" s="775">
        <f t="shared" si="448"/>
        <v>2.2818013878417824</v>
      </c>
      <c r="FA271" s="775">
        <f t="shared" si="449"/>
        <v>2.9294762503581775</v>
      </c>
      <c r="FB271" s="775">
        <f t="shared" si="450"/>
        <v>2.7666541714576156</v>
      </c>
      <c r="FC271" s="775"/>
      <c r="FD271" s="775"/>
      <c r="FE271" s="775"/>
      <c r="FF271" s="775"/>
      <c r="FG271" s="775"/>
      <c r="FH271" s="756"/>
      <c r="FI271" s="775"/>
      <c r="FJ271" s="775"/>
      <c r="FK271" s="775" t="b">
        <f t="shared" si="476"/>
        <v>0</v>
      </c>
      <c r="FL271" s="775">
        <f t="shared" si="451"/>
        <v>1.3268468803121181</v>
      </c>
      <c r="FM271" s="775">
        <v>11</v>
      </c>
      <c r="FN271" s="775">
        <f t="shared" si="477"/>
        <v>44.5</v>
      </c>
      <c r="FO271" s="673">
        <f t="shared" si="452"/>
        <v>43.173153119687882</v>
      </c>
      <c r="FP271" s="673">
        <f t="shared" si="453"/>
        <v>31.576723317281619</v>
      </c>
      <c r="FQ271" s="775" t="b">
        <f t="shared" si="454"/>
        <v>0</v>
      </c>
      <c r="FR271" s="673"/>
      <c r="FS271" s="775">
        <f t="shared" si="455"/>
        <v>43.173153119687882</v>
      </c>
      <c r="FT271" s="775">
        <f t="shared" si="456"/>
        <v>3.8953168009492153E-2</v>
      </c>
      <c r="FU271" s="775">
        <f t="shared" si="457"/>
        <v>1.9131547131702353E-3</v>
      </c>
      <c r="FV271" s="775">
        <f t="shared" si="458"/>
        <v>9.4499190999623721</v>
      </c>
      <c r="FW271" s="775">
        <f t="shared" si="459"/>
        <v>4.644901258052367</v>
      </c>
      <c r="FX271" s="775">
        <f t="shared" si="460"/>
        <v>71.077372623845335</v>
      </c>
      <c r="FY271" s="775">
        <f t="shared" si="461"/>
        <v>150.98351740128868</v>
      </c>
      <c r="FZ271" s="775">
        <f t="shared" si="462"/>
        <v>34.040822876295081</v>
      </c>
      <c r="GA271" s="775">
        <f t="shared" si="463"/>
        <v>52.36146657375896</v>
      </c>
      <c r="GB271" s="775">
        <f t="shared" si="464"/>
        <v>54.690247885326983</v>
      </c>
      <c r="GC271" s="775">
        <f t="shared" si="465"/>
        <v>7.9016140959482213</v>
      </c>
      <c r="GD271" s="775">
        <f t="shared" si="466"/>
        <v>51.693311135247136</v>
      </c>
      <c r="GE271" s="775">
        <f t="shared" si="467"/>
        <v>23.496959606930513</v>
      </c>
      <c r="GF271" s="775">
        <f t="shared" si="468"/>
        <v>50.879050007423309</v>
      </c>
      <c r="GG271" s="775">
        <f t="shared" si="469"/>
        <v>43.173153119687882</v>
      </c>
    </row>
    <row r="272" spans="70:189" ht="15.5">
      <c r="BR272" s="775"/>
      <c r="BS272" s="775"/>
      <c r="BT272" s="775"/>
      <c r="BU272" s="775"/>
      <c r="BV272" s="756"/>
      <c r="BW272" s="775"/>
      <c r="BX272" s="775"/>
      <c r="BY272" s="775" t="b">
        <f t="shared" si="470"/>
        <v>0</v>
      </c>
      <c r="BZ272" s="775">
        <f t="shared" si="397"/>
        <v>2.9837487064610841</v>
      </c>
      <c r="CA272" s="775">
        <v>12</v>
      </c>
      <c r="CB272" s="775">
        <f t="shared" si="478"/>
        <v>6</v>
      </c>
      <c r="CC272" s="673">
        <f t="shared" si="398"/>
        <v>3.0162512935389159</v>
      </c>
      <c r="CD272" s="91">
        <f t="shared" si="396"/>
        <v>2</v>
      </c>
      <c r="CE272" s="775" t="b">
        <f t="shared" si="399"/>
        <v>0</v>
      </c>
      <c r="CF272" s="673"/>
      <c r="CG272" s="775">
        <f t="shared" si="400"/>
        <v>3.0162512935389159</v>
      </c>
      <c r="CH272" s="775">
        <f t="shared" si="401"/>
        <v>0.20765341224759479</v>
      </c>
      <c r="CI272" s="775">
        <f t="shared" si="402"/>
        <v>1.3888680612863658E-2</v>
      </c>
      <c r="CJ272" s="775">
        <f t="shared" si="403"/>
        <v>4.1527337303215335</v>
      </c>
      <c r="CK272" s="775">
        <f t="shared" si="404"/>
        <v>2.3012432335192203</v>
      </c>
      <c r="CL272" s="775">
        <f t="shared" si="405"/>
        <v>2.9627515067415722</v>
      </c>
      <c r="CM272" s="775">
        <f t="shared" si="406"/>
        <v>5.8259231018126307</v>
      </c>
      <c r="CN272" s="775">
        <f t="shared" si="407"/>
        <v>1.9637082325267965</v>
      </c>
      <c r="CO272" s="775">
        <f t="shared" si="408"/>
        <v>2.8145326069437977</v>
      </c>
      <c r="CP272" s="775">
        <f t="shared" si="409"/>
        <v>259.56676530949346</v>
      </c>
      <c r="CQ272" s="775">
        <f t="shared" si="410"/>
        <v>42.077466845736666</v>
      </c>
      <c r="CR272" s="775">
        <f t="shared" si="471"/>
        <v>5.4668015695617296</v>
      </c>
      <c r="CS272" s="775">
        <f t="shared" si="411"/>
        <v>2.4849098043462403</v>
      </c>
      <c r="CT272" s="775">
        <f t="shared" si="412"/>
        <v>3.0162512935389159</v>
      </c>
      <c r="CU272" s="775">
        <f t="shared" si="413"/>
        <v>2.8101810209126938</v>
      </c>
      <c r="CV272" s="775"/>
      <c r="CW272" s="775"/>
      <c r="CX272" s="775"/>
      <c r="CY272" s="775"/>
      <c r="CZ272" s="775"/>
      <c r="DA272" s="756"/>
      <c r="DB272" s="775"/>
      <c r="DC272" s="775"/>
      <c r="DD272" s="775" t="b">
        <f t="shared" si="472"/>
        <v>0</v>
      </c>
      <c r="DE272" s="775">
        <f t="shared" si="414"/>
        <v>1.8871419760913071</v>
      </c>
      <c r="DF272" s="775">
        <v>12</v>
      </c>
      <c r="DG272" s="775">
        <f t="shared" si="473"/>
        <v>44</v>
      </c>
      <c r="DH272" s="673">
        <f t="shared" si="415"/>
        <v>45.887141976091307</v>
      </c>
      <c r="DI272" s="673">
        <f t="shared" si="416"/>
        <v>26</v>
      </c>
      <c r="DJ272" s="775" t="b">
        <f t="shared" si="417"/>
        <v>0</v>
      </c>
      <c r="DK272" s="673"/>
      <c r="DL272" s="775">
        <f t="shared" si="418"/>
        <v>45.887141976091307</v>
      </c>
      <c r="DM272" s="775">
        <f t="shared" si="419"/>
        <v>3.9434565192439E-2</v>
      </c>
      <c r="DN272" s="775">
        <f t="shared" si="420"/>
        <v>1.9367981634086655E-3</v>
      </c>
      <c r="DO272" s="775">
        <f t="shared" si="421"/>
        <v>9.4442131811986805</v>
      </c>
      <c r="DP272" s="775">
        <f t="shared" si="422"/>
        <v>4.6435499021568383</v>
      </c>
      <c r="DQ272" s="775">
        <f t="shared" si="423"/>
        <v>58.345059062336531</v>
      </c>
      <c r="DR272" s="775">
        <f t="shared" si="424"/>
        <v>123.93736452298425</v>
      </c>
      <c r="DS272" s="775">
        <f t="shared" si="425"/>
        <v>33.978510105937474</v>
      </c>
      <c r="DT272" s="775">
        <f t="shared" si="426"/>
        <v>52.272997070188303</v>
      </c>
      <c r="DU272" s="775">
        <f t="shared" si="427"/>
        <v>55.366129530184359</v>
      </c>
      <c r="DV272" s="775">
        <f t="shared" si="428"/>
        <v>7.9992650691783238</v>
      </c>
      <c r="DW272" s="775">
        <f t="shared" si="429"/>
        <v>28.78692828132559</v>
      </c>
      <c r="DX272" s="775">
        <f t="shared" si="430"/>
        <v>13.08496740060254</v>
      </c>
      <c r="DY272" s="775">
        <f t="shared" si="431"/>
        <v>45.887141976091307</v>
      </c>
      <c r="DZ272" s="775">
        <f t="shared" si="432"/>
        <v>43.130982022663822</v>
      </c>
      <c r="EA272" s="775"/>
      <c r="EB272" s="775"/>
      <c r="EC272" s="756"/>
      <c r="ED272" s="775"/>
      <c r="EE272" s="775"/>
      <c r="EF272" s="775" t="b">
        <f t="shared" si="474"/>
        <v>0</v>
      </c>
      <c r="EG272" s="775">
        <f t="shared" si="433"/>
        <v>2.9837487064610841</v>
      </c>
      <c r="EH272" s="775">
        <v>12</v>
      </c>
      <c r="EI272" s="775">
        <f t="shared" si="479"/>
        <v>6</v>
      </c>
      <c r="EJ272" s="673">
        <f t="shared" si="434"/>
        <v>3.0162512935389159</v>
      </c>
      <c r="EK272" s="673">
        <f t="shared" si="435"/>
        <v>2.2510196371999172</v>
      </c>
      <c r="EL272" s="775" t="b">
        <f t="shared" si="436"/>
        <v>0</v>
      </c>
      <c r="EM272" s="673"/>
      <c r="EN272" s="775">
        <f t="shared" si="437"/>
        <v>3.0162512935389159</v>
      </c>
      <c r="EO272" s="775">
        <f t="shared" si="438"/>
        <v>0.20765341224759479</v>
      </c>
      <c r="EP272" s="775">
        <f t="shared" si="439"/>
        <v>1.3888680612863658E-2</v>
      </c>
      <c r="EQ272" s="775">
        <f t="shared" si="440"/>
        <v>4.1527337303215335</v>
      </c>
      <c r="ER272" s="775">
        <f t="shared" si="441"/>
        <v>2.3012432335192203</v>
      </c>
      <c r="ES272" s="775">
        <f t="shared" si="442"/>
        <v>2.9627515067415722</v>
      </c>
      <c r="ET272" s="775">
        <f t="shared" si="443"/>
        <v>5.8259231018126307</v>
      </c>
      <c r="EU272" s="775">
        <f t="shared" si="444"/>
        <v>1.9637082325267965</v>
      </c>
      <c r="EV272" s="775">
        <f t="shared" si="445"/>
        <v>2.8145326069437977</v>
      </c>
      <c r="EW272" s="775">
        <f t="shared" si="446"/>
        <v>259.56676530949346</v>
      </c>
      <c r="EX272" s="775">
        <f t="shared" si="447"/>
        <v>42.077466845736666</v>
      </c>
      <c r="EY272" s="775">
        <f t="shared" si="475"/>
        <v>5.4668015695617296</v>
      </c>
      <c r="EZ272" s="775">
        <f t="shared" si="448"/>
        <v>2.4849098043462403</v>
      </c>
      <c r="FA272" s="775">
        <f t="shared" si="449"/>
        <v>3.0162512935389159</v>
      </c>
      <c r="FB272" s="775">
        <f t="shared" si="450"/>
        <v>2.8101810209126938</v>
      </c>
      <c r="FC272" s="775"/>
      <c r="FD272" s="775"/>
      <c r="FE272" s="775"/>
      <c r="FF272" s="775"/>
      <c r="FG272" s="775"/>
      <c r="FH272" s="756"/>
      <c r="FI272" s="775"/>
      <c r="FJ272" s="775"/>
      <c r="FK272" s="775" t="b">
        <f t="shared" si="476"/>
        <v>0</v>
      </c>
      <c r="FL272" s="775">
        <f t="shared" si="451"/>
        <v>0.86901797733617769</v>
      </c>
      <c r="FM272" s="775">
        <v>12</v>
      </c>
      <c r="FN272" s="775">
        <f t="shared" si="477"/>
        <v>44</v>
      </c>
      <c r="FO272" s="673">
        <f t="shared" si="452"/>
        <v>43.130982022663822</v>
      </c>
      <c r="FP272" s="673">
        <f t="shared" si="453"/>
        <v>31.576723317281619</v>
      </c>
      <c r="FQ272" s="775" t="b">
        <f t="shared" si="454"/>
        <v>0</v>
      </c>
      <c r="FR272" s="673"/>
      <c r="FS272" s="775">
        <f t="shared" si="455"/>
        <v>43.130982022663822</v>
      </c>
      <c r="FT272" s="775">
        <f t="shared" si="456"/>
        <v>3.9434565192439E-2</v>
      </c>
      <c r="FU272" s="775">
        <f t="shared" si="457"/>
        <v>1.9367981634086655E-3</v>
      </c>
      <c r="FV272" s="775">
        <f t="shared" si="458"/>
        <v>9.4442131811986805</v>
      </c>
      <c r="FW272" s="775">
        <f t="shared" si="459"/>
        <v>4.6435499021568383</v>
      </c>
      <c r="FX272" s="775">
        <f t="shared" si="460"/>
        <v>70.859453343917508</v>
      </c>
      <c r="FY272" s="775">
        <f t="shared" si="461"/>
        <v>150.52061031597495</v>
      </c>
      <c r="FZ272" s="775">
        <f t="shared" si="462"/>
        <v>33.978510105937474</v>
      </c>
      <c r="GA272" s="775">
        <f t="shared" si="463"/>
        <v>52.272997070188303</v>
      </c>
      <c r="GB272" s="775">
        <f t="shared" si="464"/>
        <v>55.366129530184359</v>
      </c>
      <c r="GC272" s="775">
        <f t="shared" si="465"/>
        <v>7.9992650691783238</v>
      </c>
      <c r="GD272" s="775">
        <f t="shared" si="466"/>
        <v>51.062265395646229</v>
      </c>
      <c r="GE272" s="775">
        <f t="shared" si="467"/>
        <v>23.210120634384648</v>
      </c>
      <c r="GF272" s="775">
        <f t="shared" si="468"/>
        <v>50.801370325339455</v>
      </c>
      <c r="GG272" s="775">
        <f t="shared" si="469"/>
        <v>43.130982022663822</v>
      </c>
    </row>
    <row r="273" spans="70:189" ht="15.5">
      <c r="BR273" s="775"/>
      <c r="BS273" s="775"/>
      <c r="BT273" s="775"/>
      <c r="BU273" s="775">
        <f>VLOOKUP(TRUE,BY261:CW360,20,FALSE)</f>
        <v>1.8627496085803237</v>
      </c>
      <c r="BV273" s="756" t="s">
        <v>920</v>
      </c>
      <c r="BW273" s="775"/>
      <c r="BX273" s="775"/>
      <c r="BY273" s="775" t="b">
        <f t="shared" si="470"/>
        <v>0</v>
      </c>
      <c r="BZ273" s="775">
        <f t="shared" si="397"/>
        <v>3.4024143592296889</v>
      </c>
      <c r="CA273" s="775">
        <v>13</v>
      </c>
      <c r="CB273" s="775">
        <f t="shared" si="478"/>
        <v>6.5</v>
      </c>
      <c r="CC273" s="673">
        <f t="shared" si="398"/>
        <v>3.0975856407703111</v>
      </c>
      <c r="CD273" s="91">
        <f t="shared" si="396"/>
        <v>2</v>
      </c>
      <c r="CE273" s="775" t="b">
        <f t="shared" si="399"/>
        <v>0</v>
      </c>
      <c r="CF273" s="673"/>
      <c r="CG273" s="775">
        <f t="shared" si="400"/>
        <v>3.0975856407703111</v>
      </c>
      <c r="CH273" s="775">
        <f t="shared" si="401"/>
        <v>0.191987170428321</v>
      </c>
      <c r="CI273" s="775">
        <f t="shared" si="402"/>
        <v>1.2840860465452131E-2</v>
      </c>
      <c r="CJ273" s="775">
        <f t="shared" si="403"/>
        <v>4.2291761603255953</v>
      </c>
      <c r="CK273" s="775">
        <f t="shared" si="404"/>
        <v>2.3245162353676228</v>
      </c>
      <c r="CL273" s="775">
        <f t="shared" si="405"/>
        <v>3.0214258720588063</v>
      </c>
      <c r="CM273" s="775">
        <f t="shared" si="406"/>
        <v>5.9412997507175564</v>
      </c>
      <c r="CN273" s="775">
        <f t="shared" si="407"/>
        <v>1.9847358591242905</v>
      </c>
      <c r="CO273" s="775">
        <f t="shared" si="408"/>
        <v>2.8435427002298086</v>
      </c>
      <c r="CP273" s="775">
        <f t="shared" si="409"/>
        <v>239.98396303540125</v>
      </c>
      <c r="CQ273" s="775">
        <f t="shared" si="410"/>
        <v>38.902966780398003</v>
      </c>
      <c r="CR273" s="775">
        <f t="shared" si="471"/>
        <v>5.9128951037060595</v>
      </c>
      <c r="CS273" s="775">
        <f t="shared" si="411"/>
        <v>2.6876795925936632</v>
      </c>
      <c r="CT273" s="775">
        <f t="shared" si="412"/>
        <v>3.0975856407703111</v>
      </c>
      <c r="CU273" s="775">
        <f t="shared" si="413"/>
        <v>2.8505829514675436</v>
      </c>
      <c r="CV273" s="775"/>
      <c r="CW273" s="775"/>
      <c r="CX273" s="775"/>
      <c r="CY273" s="775"/>
      <c r="CZ273" s="775">
        <f>VLOOKUP(TRUE,DD261:EB360,20,FALSE)</f>
        <v>30.212038503715497</v>
      </c>
      <c r="DA273" s="756" t="s">
        <v>920</v>
      </c>
      <c r="DB273" s="775"/>
      <c r="DC273" s="775"/>
      <c r="DD273" s="775" t="b">
        <f t="shared" si="472"/>
        <v>0</v>
      </c>
      <c r="DE273" s="775">
        <f t="shared" si="414"/>
        <v>2.3088861553437141</v>
      </c>
      <c r="DF273" s="775">
        <v>13</v>
      </c>
      <c r="DG273" s="775">
        <f t="shared" si="473"/>
        <v>43.5</v>
      </c>
      <c r="DH273" s="673">
        <f t="shared" si="415"/>
        <v>45.808886155343714</v>
      </c>
      <c r="DI273" s="673">
        <f t="shared" si="416"/>
        <v>26</v>
      </c>
      <c r="DJ273" s="775" t="b">
        <f t="shared" si="417"/>
        <v>0</v>
      </c>
      <c r="DK273" s="673"/>
      <c r="DL273" s="775">
        <f t="shared" si="418"/>
        <v>45.808886155343714</v>
      </c>
      <c r="DM273" s="775">
        <f t="shared" si="419"/>
        <v>3.9927516117570255E-2</v>
      </c>
      <c r="DN273" s="775">
        <f t="shared" si="420"/>
        <v>1.9610090667566723E-3</v>
      </c>
      <c r="DO273" s="775">
        <f t="shared" si="421"/>
        <v>9.4383795915121009</v>
      </c>
      <c r="DP273" s="775">
        <f t="shared" si="422"/>
        <v>4.6421673346698595</v>
      </c>
      <c r="DQ273" s="775">
        <f t="shared" si="423"/>
        <v>58.164135104135227</v>
      </c>
      <c r="DR273" s="775">
        <f t="shared" si="424"/>
        <v>123.55304340104351</v>
      </c>
      <c r="DS273" s="775">
        <f t="shared" si="425"/>
        <v>33.915575808935024</v>
      </c>
      <c r="DT273" s="775">
        <f t="shared" si="426"/>
        <v>52.183645681302885</v>
      </c>
      <c r="DU273" s="775">
        <f t="shared" si="427"/>
        <v>56.058232629068641</v>
      </c>
      <c r="DV273" s="775">
        <f t="shared" si="428"/>
        <v>8.0992597083224016</v>
      </c>
      <c r="DW273" s="775">
        <f t="shared" si="429"/>
        <v>28.431520675047725</v>
      </c>
      <c r="DX273" s="775">
        <f t="shared" si="430"/>
        <v>12.923418488658056</v>
      </c>
      <c r="DY273" s="775">
        <f t="shared" si="431"/>
        <v>45.808886155343714</v>
      </c>
      <c r="DZ273" s="775">
        <f t="shared" si="432"/>
        <v>43.088326977173885</v>
      </c>
      <c r="EA273" s="775"/>
      <c r="EB273" s="775">
        <f>VLOOKUP(TRUE,EF261:FD360,20,FALSE)</f>
        <v>1.8627496085803237</v>
      </c>
      <c r="EC273" s="756" t="s">
        <v>920</v>
      </c>
      <c r="ED273" s="775"/>
      <c r="EE273" s="775"/>
      <c r="EF273" s="775" t="b">
        <f t="shared" si="474"/>
        <v>0</v>
      </c>
      <c r="EG273" s="775">
        <f t="shared" si="433"/>
        <v>3.4024143592296889</v>
      </c>
      <c r="EH273" s="775">
        <v>13</v>
      </c>
      <c r="EI273" s="775">
        <f t="shared" si="479"/>
        <v>6.5</v>
      </c>
      <c r="EJ273" s="673">
        <f t="shared" si="434"/>
        <v>3.0975856407703111</v>
      </c>
      <c r="EK273" s="673">
        <f t="shared" si="435"/>
        <v>2.2510196371999172</v>
      </c>
      <c r="EL273" s="775" t="b">
        <f t="shared" si="436"/>
        <v>0</v>
      </c>
      <c r="EM273" s="673"/>
      <c r="EN273" s="775">
        <f t="shared" si="437"/>
        <v>3.0975856407703111</v>
      </c>
      <c r="EO273" s="775">
        <f t="shared" si="438"/>
        <v>0.191987170428321</v>
      </c>
      <c r="EP273" s="775">
        <f t="shared" si="439"/>
        <v>1.2840860465452131E-2</v>
      </c>
      <c r="EQ273" s="775">
        <f t="shared" si="440"/>
        <v>4.2291761603255953</v>
      </c>
      <c r="ER273" s="775">
        <f t="shared" si="441"/>
        <v>2.3245162353676228</v>
      </c>
      <c r="ES273" s="775">
        <f t="shared" si="442"/>
        <v>3.0214258720588063</v>
      </c>
      <c r="ET273" s="775">
        <f t="shared" si="443"/>
        <v>5.9412997507175564</v>
      </c>
      <c r="EU273" s="775">
        <f t="shared" si="444"/>
        <v>1.9847358591242905</v>
      </c>
      <c r="EV273" s="775">
        <f t="shared" si="445"/>
        <v>2.8435427002298086</v>
      </c>
      <c r="EW273" s="775">
        <f t="shared" si="446"/>
        <v>239.98396303540125</v>
      </c>
      <c r="EX273" s="775">
        <f t="shared" si="447"/>
        <v>38.902966780398003</v>
      </c>
      <c r="EY273" s="775">
        <f t="shared" si="475"/>
        <v>5.9128951037060595</v>
      </c>
      <c r="EZ273" s="775">
        <f t="shared" si="448"/>
        <v>2.6876795925936632</v>
      </c>
      <c r="FA273" s="775">
        <f t="shared" si="449"/>
        <v>3.0975856407703111</v>
      </c>
      <c r="FB273" s="775">
        <f t="shared" si="450"/>
        <v>2.8505829514675436</v>
      </c>
      <c r="FC273" s="775"/>
      <c r="FD273" s="775"/>
      <c r="FE273" s="775"/>
      <c r="FF273" s="775"/>
      <c r="FG273" s="775">
        <f>VLOOKUP(TRUE,FK261:GI360,20,FALSE)</f>
        <v>49.802051195374247</v>
      </c>
      <c r="FH273" s="756" t="s">
        <v>920</v>
      </c>
      <c r="FI273" s="775"/>
      <c r="FJ273" s="775"/>
      <c r="FK273" s="775" t="b">
        <f t="shared" si="476"/>
        <v>0</v>
      </c>
      <c r="FL273" s="775">
        <f t="shared" si="451"/>
        <v>0.41167302282611473</v>
      </c>
      <c r="FM273" s="775">
        <v>13</v>
      </c>
      <c r="FN273" s="775">
        <f t="shared" si="477"/>
        <v>43.5</v>
      </c>
      <c r="FO273" s="673">
        <f t="shared" si="452"/>
        <v>43.088326977173885</v>
      </c>
      <c r="FP273" s="673">
        <f t="shared" si="453"/>
        <v>31.576723317281619</v>
      </c>
      <c r="FQ273" s="775" t="b">
        <f t="shared" si="454"/>
        <v>0</v>
      </c>
      <c r="FR273" s="673"/>
      <c r="FS273" s="775">
        <f t="shared" si="455"/>
        <v>43.088326977173885</v>
      </c>
      <c r="FT273" s="775">
        <f t="shared" si="456"/>
        <v>3.9927516117570255E-2</v>
      </c>
      <c r="FU273" s="775">
        <f t="shared" si="457"/>
        <v>1.9610090667566723E-3</v>
      </c>
      <c r="FV273" s="775">
        <f t="shared" si="458"/>
        <v>9.4383795915121009</v>
      </c>
      <c r="FW273" s="775">
        <f t="shared" si="459"/>
        <v>4.6421673346698595</v>
      </c>
      <c r="FX273" s="775">
        <f t="shared" si="460"/>
        <v>70.639723122010196</v>
      </c>
      <c r="FY273" s="775">
        <f t="shared" si="461"/>
        <v>150.0538564031861</v>
      </c>
      <c r="FZ273" s="775">
        <f t="shared" si="462"/>
        <v>33.915575808935024</v>
      </c>
      <c r="GA273" s="775">
        <f t="shared" si="463"/>
        <v>52.183645681302885</v>
      </c>
      <c r="GB273" s="775">
        <f t="shared" si="464"/>
        <v>56.058232629068641</v>
      </c>
      <c r="GC273" s="775">
        <f t="shared" si="465"/>
        <v>8.0992597083224016</v>
      </c>
      <c r="GD273" s="775">
        <f t="shared" si="466"/>
        <v>50.431843235350492</v>
      </c>
      <c r="GE273" s="775">
        <f t="shared" si="467"/>
        <v>22.923565106977495</v>
      </c>
      <c r="GF273" s="775">
        <f t="shared" si="468"/>
        <v>50.722795960433118</v>
      </c>
      <c r="GG273" s="775">
        <f t="shared" si="469"/>
        <v>43.088326977173885</v>
      </c>
    </row>
    <row r="274" spans="70:189" ht="15.5">
      <c r="BR274" s="775"/>
      <c r="BS274" s="775"/>
      <c r="BT274" s="775"/>
      <c r="BU274" s="775">
        <f>VLOOKUP(TRUE,BY261:CW360,21,FALSE)</f>
        <v>0.84670436753651068</v>
      </c>
      <c r="BV274" s="756" t="s">
        <v>921</v>
      </c>
      <c r="BW274" s="775"/>
      <c r="BX274" s="775"/>
      <c r="BY274" s="775" t="b">
        <f t="shared" si="470"/>
        <v>0</v>
      </c>
      <c r="BZ274" s="775">
        <f t="shared" si="397"/>
        <v>3.8258001612698158</v>
      </c>
      <c r="CA274" s="775">
        <v>14</v>
      </c>
      <c r="CB274" s="775">
        <f t="shared" si="478"/>
        <v>7</v>
      </c>
      <c r="CC274" s="673">
        <f t="shared" si="398"/>
        <v>3.1741998387301842</v>
      </c>
      <c r="CD274" s="91">
        <f t="shared" si="396"/>
        <v>2</v>
      </c>
      <c r="CE274" s="775" t="b">
        <f t="shared" si="399"/>
        <v>0</v>
      </c>
      <c r="CF274" s="673"/>
      <c r="CG274" s="775">
        <f t="shared" si="400"/>
        <v>3.1741998387301842</v>
      </c>
      <c r="CH274" s="775">
        <f t="shared" si="401"/>
        <v>0.17853822722220389</v>
      </c>
      <c r="CI274" s="775">
        <f t="shared" si="402"/>
        <v>1.1941342009441462E-2</v>
      </c>
      <c r="CJ274" s="775">
        <f t="shared" si="403"/>
        <v>4.2977952616334081</v>
      </c>
      <c r="CK274" s="775">
        <f t="shared" si="404"/>
        <v>2.3450688288332429</v>
      </c>
      <c r="CL274" s="775">
        <f t="shared" si="405"/>
        <v>3.0767852940185634</v>
      </c>
      <c r="CM274" s="775">
        <f t="shared" si="406"/>
        <v>6.0501579302052626</v>
      </c>
      <c r="CN274" s="775">
        <f t="shared" si="407"/>
        <v>2.0043782108714843</v>
      </c>
      <c r="CO274" s="775">
        <f t="shared" si="408"/>
        <v>2.8706470309646828</v>
      </c>
      <c r="CP274" s="775">
        <f t="shared" si="409"/>
        <v>223.17278402775486</v>
      </c>
      <c r="CQ274" s="775">
        <f t="shared" si="410"/>
        <v>36.177764936900999</v>
      </c>
      <c r="CR274" s="775">
        <f t="shared" si="471"/>
        <v>6.3583021835831302</v>
      </c>
      <c r="CS274" s="775">
        <f t="shared" si="411"/>
        <v>2.8901373561741499</v>
      </c>
      <c r="CT274" s="775">
        <f t="shared" si="412"/>
        <v>3.1741998387301842</v>
      </c>
      <c r="CU274" s="775">
        <f t="shared" si="413"/>
        <v>2.888300413535374</v>
      </c>
      <c r="CV274" s="775"/>
      <c r="CW274" s="775"/>
      <c r="CX274" s="775"/>
      <c r="CY274" s="775"/>
      <c r="CZ274" s="775">
        <f>VLOOKUP(TRUE,DD261:EB360,21,FALSE)</f>
        <v>13.732744774416133</v>
      </c>
      <c r="DA274" s="756" t="s">
        <v>921</v>
      </c>
      <c r="DB274" s="775"/>
      <c r="DC274" s="775"/>
      <c r="DD274" s="775" t="b">
        <f t="shared" si="472"/>
        <v>0</v>
      </c>
      <c r="DE274" s="775">
        <f t="shared" si="414"/>
        <v>2.7297429727859992</v>
      </c>
      <c r="DF274" s="775">
        <v>14</v>
      </c>
      <c r="DG274" s="775">
        <f t="shared" si="473"/>
        <v>43</v>
      </c>
      <c r="DH274" s="673">
        <f t="shared" si="415"/>
        <v>45.729742972785999</v>
      </c>
      <c r="DI274" s="673">
        <f t="shared" si="416"/>
        <v>26</v>
      </c>
      <c r="DJ274" s="775" t="b">
        <f t="shared" si="417"/>
        <v>0</v>
      </c>
      <c r="DK274" s="673"/>
      <c r="DL274" s="775">
        <f t="shared" si="418"/>
        <v>45.729742972785999</v>
      </c>
      <c r="DM274" s="775">
        <f t="shared" si="419"/>
        <v>4.0432435718737302E-2</v>
      </c>
      <c r="DN274" s="775">
        <f t="shared" si="420"/>
        <v>1.9858078023693797E-3</v>
      </c>
      <c r="DO274" s="775">
        <f t="shared" si="421"/>
        <v>9.4324140671800354</v>
      </c>
      <c r="DP274" s="775">
        <f t="shared" si="422"/>
        <v>4.6407524784244369</v>
      </c>
      <c r="DQ274" s="775">
        <f t="shared" si="423"/>
        <v>57.981690285499347</v>
      </c>
      <c r="DR274" s="775">
        <f t="shared" si="424"/>
        <v>123.16549164677335</v>
      </c>
      <c r="DS274" s="775">
        <f t="shared" si="425"/>
        <v>33.85200654334259</v>
      </c>
      <c r="DT274" s="775">
        <f t="shared" si="426"/>
        <v>52.0933933146854</v>
      </c>
      <c r="DU274" s="775">
        <f t="shared" si="427"/>
        <v>56.767139749107173</v>
      </c>
      <c r="DV274" s="775">
        <f t="shared" si="428"/>
        <v>8.2016821823283639</v>
      </c>
      <c r="DW274" s="775">
        <f t="shared" si="429"/>
        <v>28.076468306209975</v>
      </c>
      <c r="DX274" s="775">
        <f t="shared" si="430"/>
        <v>12.76203104827726</v>
      </c>
      <c r="DY274" s="775">
        <f t="shared" si="431"/>
        <v>45.729742972785999</v>
      </c>
      <c r="DZ274" s="775">
        <f t="shared" si="432"/>
        <v>43.045176810273531</v>
      </c>
      <c r="EA274" s="775"/>
      <c r="EB274" s="775">
        <f>VLOOKUP(TRUE,EF261:FD360,21,FALSE)</f>
        <v>0.84670436753651068</v>
      </c>
      <c r="EC274" s="756" t="s">
        <v>921</v>
      </c>
      <c r="ED274" s="775"/>
      <c r="EE274" s="775"/>
      <c r="EF274" s="775" t="b">
        <f t="shared" si="474"/>
        <v>0</v>
      </c>
      <c r="EG274" s="775">
        <f t="shared" si="433"/>
        <v>3.8258001612698158</v>
      </c>
      <c r="EH274" s="775">
        <v>14</v>
      </c>
      <c r="EI274" s="775">
        <f t="shared" si="479"/>
        <v>7</v>
      </c>
      <c r="EJ274" s="673">
        <f t="shared" si="434"/>
        <v>3.1741998387301842</v>
      </c>
      <c r="EK274" s="673">
        <f t="shared" si="435"/>
        <v>2.2510196371999172</v>
      </c>
      <c r="EL274" s="775" t="b">
        <f t="shared" si="436"/>
        <v>0</v>
      </c>
      <c r="EM274" s="673"/>
      <c r="EN274" s="775">
        <f t="shared" si="437"/>
        <v>3.1741998387301842</v>
      </c>
      <c r="EO274" s="775">
        <f t="shared" si="438"/>
        <v>0.17853822722220389</v>
      </c>
      <c r="EP274" s="775">
        <f t="shared" si="439"/>
        <v>1.1941342009441462E-2</v>
      </c>
      <c r="EQ274" s="775">
        <f t="shared" si="440"/>
        <v>4.2977952616334081</v>
      </c>
      <c r="ER274" s="775">
        <f t="shared" si="441"/>
        <v>2.3450688288332429</v>
      </c>
      <c r="ES274" s="775">
        <f t="shared" si="442"/>
        <v>3.0767852940185634</v>
      </c>
      <c r="ET274" s="775">
        <f t="shared" si="443"/>
        <v>6.0501579302052626</v>
      </c>
      <c r="EU274" s="775">
        <f t="shared" si="444"/>
        <v>2.0043782108714843</v>
      </c>
      <c r="EV274" s="775">
        <f t="shared" si="445"/>
        <v>2.8706470309646828</v>
      </c>
      <c r="EW274" s="775">
        <f t="shared" si="446"/>
        <v>223.17278402775486</v>
      </c>
      <c r="EX274" s="775">
        <f t="shared" si="447"/>
        <v>36.177764936900999</v>
      </c>
      <c r="EY274" s="775">
        <f t="shared" si="475"/>
        <v>6.3583021835831302</v>
      </c>
      <c r="EZ274" s="775">
        <f t="shared" si="448"/>
        <v>2.8901373561741499</v>
      </c>
      <c r="FA274" s="775">
        <f t="shared" si="449"/>
        <v>3.1741998387301842</v>
      </c>
      <c r="FB274" s="775">
        <f t="shared" si="450"/>
        <v>2.888300413535374</v>
      </c>
      <c r="FC274" s="775"/>
      <c r="FD274" s="775"/>
      <c r="FE274" s="775"/>
      <c r="FF274" s="775"/>
      <c r="FG274" s="775">
        <f>VLOOKUP(TRUE,FK261:GI360,21,FALSE)</f>
        <v>22.637295997897382</v>
      </c>
      <c r="FH274" s="756" t="s">
        <v>921</v>
      </c>
      <c r="FI274" s="775"/>
      <c r="FJ274" s="775"/>
      <c r="FK274" s="775" t="b">
        <f t="shared" si="476"/>
        <v>1</v>
      </c>
      <c r="FL274" s="775">
        <f t="shared" si="451"/>
        <v>4.5176810273531487E-2</v>
      </c>
      <c r="FM274" s="775">
        <v>14</v>
      </c>
      <c r="FN274" s="775">
        <f t="shared" si="477"/>
        <v>43</v>
      </c>
      <c r="FO274" s="673">
        <f t="shared" si="452"/>
        <v>43.045176810273531</v>
      </c>
      <c r="FP274" s="673">
        <f t="shared" si="453"/>
        <v>31.576723317281619</v>
      </c>
      <c r="FQ274" s="775" t="b">
        <f t="shared" si="454"/>
        <v>0</v>
      </c>
      <c r="FR274" s="673"/>
      <c r="FS274" s="775">
        <f t="shared" si="455"/>
        <v>43.045176810273531</v>
      </c>
      <c r="FT274" s="775">
        <f t="shared" si="456"/>
        <v>4.0432435718737302E-2</v>
      </c>
      <c r="FU274" s="775">
        <f t="shared" si="457"/>
        <v>1.9858078023693797E-3</v>
      </c>
      <c r="FV274" s="775">
        <f t="shared" si="458"/>
        <v>9.4324140671800354</v>
      </c>
      <c r="FW274" s="775">
        <f t="shared" si="459"/>
        <v>4.6407524784244369</v>
      </c>
      <c r="FX274" s="775">
        <f t="shared" si="460"/>
        <v>70.41814583128955</v>
      </c>
      <c r="FY274" s="775">
        <f t="shared" si="461"/>
        <v>149.58317892181239</v>
      </c>
      <c r="FZ274" s="775">
        <f t="shared" si="462"/>
        <v>33.85200654334259</v>
      </c>
      <c r="GA274" s="775">
        <f t="shared" si="463"/>
        <v>52.0933933146854</v>
      </c>
      <c r="GB274" s="775">
        <f t="shared" si="464"/>
        <v>56.767139749107173</v>
      </c>
      <c r="GC274" s="775">
        <f t="shared" si="465"/>
        <v>8.2016821823283639</v>
      </c>
      <c r="GD274" s="775">
        <f t="shared" si="466"/>
        <v>49.802051195374247</v>
      </c>
      <c r="GE274" s="775">
        <f t="shared" si="467"/>
        <v>22.637295997897382</v>
      </c>
      <c r="GF274" s="775">
        <f t="shared" si="468"/>
        <v>50.64330653022634</v>
      </c>
      <c r="GG274" s="775">
        <f t="shared" si="469"/>
        <v>43.045176810273531</v>
      </c>
    </row>
    <row r="275" spans="70:189" ht="15.5">
      <c r="BR275" s="775"/>
      <c r="BS275" s="775"/>
      <c r="BT275" s="775"/>
      <c r="BU275" s="775">
        <f>VLOOKUP(TRUE,BY261:CW360,22,FALSE)</f>
        <v>2.036481703304891</v>
      </c>
      <c r="BV275" s="756" t="s">
        <v>751</v>
      </c>
      <c r="BW275" s="775"/>
      <c r="BX275" s="775"/>
      <c r="BY275" s="775" t="b">
        <f t="shared" si="470"/>
        <v>0</v>
      </c>
      <c r="BZ275" s="775">
        <f t="shared" si="397"/>
        <v>4.2533245022920383</v>
      </c>
      <c r="CA275" s="775">
        <v>15</v>
      </c>
      <c r="CB275" s="775">
        <f t="shared" si="478"/>
        <v>7.5</v>
      </c>
      <c r="CC275" s="673">
        <f t="shared" si="398"/>
        <v>3.2466754977079622</v>
      </c>
      <c r="CD275" s="91">
        <f t="shared" si="396"/>
        <v>2</v>
      </c>
      <c r="CE275" s="775" t="b">
        <f t="shared" si="399"/>
        <v>0</v>
      </c>
      <c r="CF275" s="673"/>
      <c r="CG275" s="775">
        <f t="shared" si="400"/>
        <v>3.2466754977079622</v>
      </c>
      <c r="CH275" s="775">
        <f t="shared" si="401"/>
        <v>0.16686577093079455</v>
      </c>
      <c r="CI275" s="775">
        <f t="shared" si="402"/>
        <v>1.1160642016870677E-2</v>
      </c>
      <c r="CJ275" s="775">
        <f t="shared" si="403"/>
        <v>4.3597519881651339</v>
      </c>
      <c r="CK275" s="775">
        <f t="shared" si="404"/>
        <v>2.3633555728235227</v>
      </c>
      <c r="CL275" s="775">
        <f t="shared" si="405"/>
        <v>3.1292350124745871</v>
      </c>
      <c r="CM275" s="775">
        <f t="shared" si="406"/>
        <v>6.1532944996209622</v>
      </c>
      <c r="CN275" s="775">
        <f t="shared" si="407"/>
        <v>2.022816402411908</v>
      </c>
      <c r="CO275" s="775">
        <f t="shared" si="408"/>
        <v>2.8960944360481364</v>
      </c>
      <c r="CP275" s="775">
        <f t="shared" si="409"/>
        <v>208.58221366349318</v>
      </c>
      <c r="CQ275" s="775">
        <f t="shared" si="410"/>
        <v>33.81253824838182</v>
      </c>
      <c r="CR275" s="775">
        <f t="shared" si="471"/>
        <v>6.8030728750883833</v>
      </c>
      <c r="CS275" s="775">
        <f t="shared" si="411"/>
        <v>3.0923058523129012</v>
      </c>
      <c r="CT275" s="775">
        <f t="shared" si="412"/>
        <v>3.2466754977079622</v>
      </c>
      <c r="CU275" s="775">
        <f t="shared" si="413"/>
        <v>2.9236855079202213</v>
      </c>
      <c r="CV275" s="775"/>
      <c r="CW275" s="775"/>
      <c r="CX275" s="775"/>
      <c r="CY275" s="775"/>
      <c r="CZ275" s="775">
        <f>VLOOKUP(TRUE,DD261:EB360,22,FALSE)</f>
        <v>46.191672156404245</v>
      </c>
      <c r="DA275" s="756" t="s">
        <v>751</v>
      </c>
      <c r="DB275" s="775"/>
      <c r="DC275" s="775"/>
      <c r="DD275" s="775" t="b">
        <f t="shared" si="472"/>
        <v>0</v>
      </c>
      <c r="DE275" s="775">
        <f t="shared" si="414"/>
        <v>3.1496922663105451</v>
      </c>
      <c r="DF275" s="775">
        <v>15</v>
      </c>
      <c r="DG275" s="775">
        <f t="shared" si="473"/>
        <v>42.5</v>
      </c>
      <c r="DH275" s="673">
        <f t="shared" si="415"/>
        <v>45.649692266310545</v>
      </c>
      <c r="DI275" s="673">
        <f t="shared" si="416"/>
        <v>26</v>
      </c>
      <c r="DJ275" s="775" t="b">
        <f t="shared" si="417"/>
        <v>0</v>
      </c>
      <c r="DK275" s="673"/>
      <c r="DL275" s="775">
        <f t="shared" si="418"/>
        <v>45.649692266310545</v>
      </c>
      <c r="DM275" s="775">
        <f t="shared" si="419"/>
        <v>4.0949758890903243E-2</v>
      </c>
      <c r="DN275" s="775">
        <f t="shared" si="420"/>
        <v>2.0112157297764721E-3</v>
      </c>
      <c r="DO275" s="775">
        <f t="shared" si="421"/>
        <v>9.426312154151276</v>
      </c>
      <c r="DP275" s="775">
        <f t="shared" si="422"/>
        <v>4.6393042065166075</v>
      </c>
      <c r="DQ275" s="775">
        <f t="shared" si="423"/>
        <v>57.797693912170743</v>
      </c>
      <c r="DR275" s="775">
        <f t="shared" si="424"/>
        <v>122.77464405901497</v>
      </c>
      <c r="DS275" s="775">
        <f t="shared" si="425"/>
        <v>33.787788416224139</v>
      </c>
      <c r="DT275" s="775">
        <f t="shared" si="426"/>
        <v>52.002220236508848</v>
      </c>
      <c r="DU275" s="775">
        <f t="shared" si="427"/>
        <v>57.493461482828152</v>
      </c>
      <c r="DV275" s="775">
        <f t="shared" si="428"/>
        <v>8.306620709237162</v>
      </c>
      <c r="DW275" s="775">
        <f t="shared" si="429"/>
        <v>27.721774944374051</v>
      </c>
      <c r="DX275" s="775">
        <f t="shared" si="430"/>
        <v>12.600806792897295</v>
      </c>
      <c r="DY275" s="775">
        <f t="shared" si="431"/>
        <v>45.649692266310545</v>
      </c>
      <c r="DZ275" s="775">
        <f t="shared" si="432"/>
        <v>43.001519957859372</v>
      </c>
      <c r="EA275" s="775"/>
      <c r="EB275" s="775">
        <f>VLOOKUP(TRUE,EF261:FD360,22,FALSE)</f>
        <v>2.036481703304891</v>
      </c>
      <c r="EC275" s="756" t="s">
        <v>751</v>
      </c>
      <c r="ED275" s="775"/>
      <c r="EE275" s="775"/>
      <c r="EF275" s="775" t="b">
        <f t="shared" si="474"/>
        <v>0</v>
      </c>
      <c r="EG275" s="775">
        <f t="shared" si="433"/>
        <v>4.2533245022920383</v>
      </c>
      <c r="EH275" s="775">
        <v>15</v>
      </c>
      <c r="EI275" s="775">
        <f t="shared" si="479"/>
        <v>7.5</v>
      </c>
      <c r="EJ275" s="673">
        <f t="shared" si="434"/>
        <v>3.2466754977079622</v>
      </c>
      <c r="EK275" s="673">
        <f t="shared" si="435"/>
        <v>2.2510196371999172</v>
      </c>
      <c r="EL275" s="775" t="b">
        <f t="shared" si="436"/>
        <v>0</v>
      </c>
      <c r="EM275" s="673"/>
      <c r="EN275" s="775">
        <f t="shared" si="437"/>
        <v>3.2466754977079622</v>
      </c>
      <c r="EO275" s="775">
        <f t="shared" si="438"/>
        <v>0.16686577093079455</v>
      </c>
      <c r="EP275" s="775">
        <f t="shared" si="439"/>
        <v>1.1160642016870677E-2</v>
      </c>
      <c r="EQ275" s="775">
        <f t="shared" si="440"/>
        <v>4.3597519881651339</v>
      </c>
      <c r="ER275" s="775">
        <f t="shared" si="441"/>
        <v>2.3633555728235227</v>
      </c>
      <c r="ES275" s="775">
        <f t="shared" si="442"/>
        <v>3.1292350124745871</v>
      </c>
      <c r="ET275" s="775">
        <f t="shared" si="443"/>
        <v>6.1532944996209622</v>
      </c>
      <c r="EU275" s="775">
        <f t="shared" si="444"/>
        <v>2.022816402411908</v>
      </c>
      <c r="EV275" s="775">
        <f t="shared" si="445"/>
        <v>2.8960944360481364</v>
      </c>
      <c r="EW275" s="775">
        <f t="shared" si="446"/>
        <v>208.58221366349318</v>
      </c>
      <c r="EX275" s="775">
        <f t="shared" si="447"/>
        <v>33.81253824838182</v>
      </c>
      <c r="EY275" s="775">
        <f t="shared" si="475"/>
        <v>6.8030728750883833</v>
      </c>
      <c r="EZ275" s="775">
        <f t="shared" si="448"/>
        <v>3.0923058523129012</v>
      </c>
      <c r="FA275" s="775">
        <f t="shared" si="449"/>
        <v>3.2466754977079622</v>
      </c>
      <c r="FB275" s="775">
        <f t="shared" si="450"/>
        <v>2.9236855079202213</v>
      </c>
      <c r="FC275" s="775"/>
      <c r="FD275" s="775"/>
      <c r="FE275" s="775"/>
      <c r="FF275" s="775"/>
      <c r="FG275" s="775">
        <f>VLOOKUP(TRUE,FK261:GI360,22,FALSE)</f>
        <v>50.64330653022634</v>
      </c>
      <c r="FH275" s="756" t="s">
        <v>751</v>
      </c>
      <c r="FI275" s="775"/>
      <c r="FJ275" s="775"/>
      <c r="FK275" s="775" t="b">
        <f t="shared" si="476"/>
        <v>0</v>
      </c>
      <c r="FL275" s="775">
        <f t="shared" si="451"/>
        <v>0.50151995785937231</v>
      </c>
      <c r="FM275" s="775">
        <v>15</v>
      </c>
      <c r="FN275" s="775">
        <f t="shared" si="477"/>
        <v>42.5</v>
      </c>
      <c r="FO275" s="673">
        <f t="shared" si="452"/>
        <v>43.001519957859372</v>
      </c>
      <c r="FP275" s="673">
        <f t="shared" si="453"/>
        <v>31.576723317281619</v>
      </c>
      <c r="FQ275" s="775" t="b">
        <f t="shared" si="454"/>
        <v>0</v>
      </c>
      <c r="FR275" s="673"/>
      <c r="FS275" s="775">
        <f t="shared" si="455"/>
        <v>43.001519957859372</v>
      </c>
      <c r="FT275" s="775">
        <f t="shared" si="456"/>
        <v>4.0949758890903243E-2</v>
      </c>
      <c r="FU275" s="775">
        <f t="shared" si="457"/>
        <v>2.0112157297764721E-3</v>
      </c>
      <c r="FV275" s="775">
        <f t="shared" si="458"/>
        <v>9.426312154151276</v>
      </c>
      <c r="FW275" s="775">
        <f t="shared" si="459"/>
        <v>4.6393042065166075</v>
      </c>
      <c r="FX275" s="775">
        <f t="shared" si="460"/>
        <v>70.194684193905687</v>
      </c>
      <c r="FY275" s="775">
        <f t="shared" si="461"/>
        <v>149.10849868574036</v>
      </c>
      <c r="FZ275" s="775">
        <f t="shared" si="462"/>
        <v>33.787788416224139</v>
      </c>
      <c r="GA275" s="775">
        <f t="shared" si="463"/>
        <v>52.002220236508848</v>
      </c>
      <c r="GB275" s="775">
        <f t="shared" si="464"/>
        <v>57.493461482828152</v>
      </c>
      <c r="GC275" s="775">
        <f t="shared" si="465"/>
        <v>8.306620709237162</v>
      </c>
      <c r="GD275" s="775">
        <f t="shared" si="466"/>
        <v>49.172895962167615</v>
      </c>
      <c r="GE275" s="775">
        <f t="shared" si="467"/>
        <v>22.351316346439823</v>
      </c>
      <c r="GF275" s="775">
        <f t="shared" si="468"/>
        <v>50.562880948885784</v>
      </c>
      <c r="GG275" s="775">
        <f t="shared" si="469"/>
        <v>43.001519957859372</v>
      </c>
    </row>
    <row r="276" spans="70:189" ht="16" thickBot="1">
      <c r="BR276" s="775"/>
      <c r="BS276" s="775"/>
      <c r="BT276" s="775"/>
      <c r="BU276" s="775">
        <f>VLOOKUP(TRUE,BY261:CW360,23,FALSE)</f>
        <v>2.2894140657605164</v>
      </c>
      <c r="BV276" s="758" t="s">
        <v>917</v>
      </c>
      <c r="BW276" s="775"/>
      <c r="BX276" s="775"/>
      <c r="BY276" s="775" t="b">
        <f t="shared" si="470"/>
        <v>0</v>
      </c>
      <c r="BZ276" s="775">
        <f t="shared" si="397"/>
        <v>4.6845106077123173</v>
      </c>
      <c r="CA276" s="775">
        <v>16</v>
      </c>
      <c r="CB276" s="775">
        <f t="shared" si="478"/>
        <v>8</v>
      </c>
      <c r="CC276" s="673">
        <f t="shared" si="398"/>
        <v>3.3154893922876827</v>
      </c>
      <c r="CD276" s="91">
        <f t="shared" si="396"/>
        <v>2</v>
      </c>
      <c r="CE276" s="775" t="b">
        <f t="shared" si="399"/>
        <v>0</v>
      </c>
      <c r="CF276" s="673"/>
      <c r="CG276" s="775">
        <f t="shared" si="400"/>
        <v>3.3154893922876827</v>
      </c>
      <c r="CH276" s="775">
        <f t="shared" si="401"/>
        <v>0.15663871443643351</v>
      </c>
      <c r="CI276" s="775">
        <f t="shared" si="402"/>
        <v>1.0476616073244323E-2</v>
      </c>
      <c r="CJ276" s="775">
        <f t="shared" si="403"/>
        <v>4.4159854069664268</v>
      </c>
      <c r="CK276" s="775">
        <f t="shared" si="404"/>
        <v>2.3797344766372004</v>
      </c>
      <c r="CL276" s="775">
        <f t="shared" si="405"/>
        <v>3.1791075329882603</v>
      </c>
      <c r="CM276" s="775">
        <f t="shared" si="406"/>
        <v>6.2513632943697264</v>
      </c>
      <c r="CN276" s="775">
        <f t="shared" si="407"/>
        <v>2.0401976434921671</v>
      </c>
      <c r="CO276" s="775">
        <f t="shared" si="408"/>
        <v>2.920087207626985</v>
      </c>
      <c r="CP276" s="775">
        <f t="shared" si="409"/>
        <v>195.7983930455419</v>
      </c>
      <c r="CQ276" s="775">
        <f t="shared" si="410"/>
        <v>31.740197486372807</v>
      </c>
      <c r="CR276" s="775">
        <f t="shared" si="471"/>
        <v>7.2472504903038022</v>
      </c>
      <c r="CS276" s="775">
        <f t="shared" si="411"/>
        <v>3.2942047683199096</v>
      </c>
      <c r="CT276" s="775">
        <f t="shared" si="412"/>
        <v>3.3154893922876827</v>
      </c>
      <c r="CU276" s="775">
        <f t="shared" si="413"/>
        <v>2.9570242972551286</v>
      </c>
      <c r="CV276" s="775"/>
      <c r="CW276" s="775"/>
      <c r="CX276" s="775"/>
      <c r="CY276" s="775"/>
      <c r="CZ276" s="775">
        <f>VLOOKUP(TRUE,DD261:EB360,23,FALSE)</f>
        <v>43.296868941675889</v>
      </c>
      <c r="DA276" s="758" t="s">
        <v>917</v>
      </c>
      <c r="DB276" s="775"/>
      <c r="DC276" s="775"/>
      <c r="DD276" s="775" t="b">
        <f t="shared" si="472"/>
        <v>0</v>
      </c>
      <c r="DE276" s="775">
        <f t="shared" si="414"/>
        <v>3.568713176461074</v>
      </c>
      <c r="DF276" s="775">
        <v>16</v>
      </c>
      <c r="DG276" s="775">
        <f t="shared" si="473"/>
        <v>42</v>
      </c>
      <c r="DH276" s="673">
        <f t="shared" si="415"/>
        <v>45.568713176461074</v>
      </c>
      <c r="DI276" s="673">
        <f t="shared" si="416"/>
        <v>26</v>
      </c>
      <c r="DJ276" s="775" t="b">
        <f t="shared" si="417"/>
        <v>0</v>
      </c>
      <c r="DK276" s="673"/>
      <c r="DL276" s="775">
        <f t="shared" si="418"/>
        <v>45.568713176461074</v>
      </c>
      <c r="DM276" s="775">
        <f t="shared" si="419"/>
        <v>4.1479941699597331E-2</v>
      </c>
      <c r="DN276" s="775">
        <f t="shared" si="420"/>
        <v>2.0372552482836128E-3</v>
      </c>
      <c r="DO276" s="775">
        <f t="shared" si="421"/>
        <v>9.4200691973654056</v>
      </c>
      <c r="DP276" s="775">
        <f t="shared" si="422"/>
        <v>4.6378213394159973</v>
      </c>
      <c r="DQ276" s="775">
        <f t="shared" si="423"/>
        <v>57.61211430040354</v>
      </c>
      <c r="DR276" s="775">
        <f t="shared" si="424"/>
        <v>122.38043333472635</v>
      </c>
      <c r="DS276" s="775">
        <f t="shared" si="425"/>
        <v>33.722907063016024</v>
      </c>
      <c r="DT276" s="775">
        <f t="shared" si="426"/>
        <v>51.910106042146857</v>
      </c>
      <c r="DU276" s="775">
        <f t="shared" si="427"/>
        <v>58.237838146234651</v>
      </c>
      <c r="DV276" s="775">
        <f t="shared" si="428"/>
        <v>8.4141678015195094</v>
      </c>
      <c r="DW276" s="775">
        <f t="shared" si="429"/>
        <v>27.367444443901423</v>
      </c>
      <c r="DX276" s="775">
        <f t="shared" si="430"/>
        <v>12.439747474500646</v>
      </c>
      <c r="DY276" s="775">
        <f t="shared" si="431"/>
        <v>45.568713176461074</v>
      </c>
      <c r="DZ276" s="775">
        <f t="shared" si="432"/>
        <v>42.957344446195712</v>
      </c>
      <c r="EA276" s="775"/>
      <c r="EB276" s="775">
        <f>VLOOKUP(TRUE,EF261:FD360,23,FALSE)</f>
        <v>2.2894140657605164</v>
      </c>
      <c r="EC276" s="758" t="s">
        <v>917</v>
      </c>
      <c r="ED276" s="775"/>
      <c r="EE276" s="775"/>
      <c r="EF276" s="775" t="b">
        <f t="shared" si="474"/>
        <v>0</v>
      </c>
      <c r="EG276" s="775">
        <f t="shared" si="433"/>
        <v>4.6845106077123173</v>
      </c>
      <c r="EH276" s="775">
        <v>16</v>
      </c>
      <c r="EI276" s="775">
        <f t="shared" si="479"/>
        <v>8</v>
      </c>
      <c r="EJ276" s="673">
        <f t="shared" si="434"/>
        <v>3.3154893922876827</v>
      </c>
      <c r="EK276" s="673">
        <f t="shared" si="435"/>
        <v>2.2510196371999172</v>
      </c>
      <c r="EL276" s="775" t="b">
        <f t="shared" si="436"/>
        <v>0</v>
      </c>
      <c r="EM276" s="673"/>
      <c r="EN276" s="775">
        <f t="shared" si="437"/>
        <v>3.3154893922876827</v>
      </c>
      <c r="EO276" s="775">
        <f t="shared" si="438"/>
        <v>0.15663871443643351</v>
      </c>
      <c r="EP276" s="775">
        <f t="shared" si="439"/>
        <v>1.0476616073244323E-2</v>
      </c>
      <c r="EQ276" s="775">
        <f t="shared" si="440"/>
        <v>4.4159854069664268</v>
      </c>
      <c r="ER276" s="775">
        <f t="shared" si="441"/>
        <v>2.3797344766372004</v>
      </c>
      <c r="ES276" s="775">
        <f t="shared" si="442"/>
        <v>3.1791075329882603</v>
      </c>
      <c r="ET276" s="775">
        <f t="shared" si="443"/>
        <v>6.2513632943697264</v>
      </c>
      <c r="EU276" s="775">
        <f t="shared" si="444"/>
        <v>2.0401976434921671</v>
      </c>
      <c r="EV276" s="775">
        <f t="shared" si="445"/>
        <v>2.920087207626985</v>
      </c>
      <c r="EW276" s="775">
        <f t="shared" si="446"/>
        <v>195.7983930455419</v>
      </c>
      <c r="EX276" s="775">
        <f t="shared" si="447"/>
        <v>31.740197486372807</v>
      </c>
      <c r="EY276" s="775">
        <f t="shared" si="475"/>
        <v>7.2472504903038022</v>
      </c>
      <c r="EZ276" s="775">
        <f t="shared" si="448"/>
        <v>3.2942047683199096</v>
      </c>
      <c r="FA276" s="775">
        <f t="shared" si="449"/>
        <v>3.3154893922876827</v>
      </c>
      <c r="FB276" s="775">
        <f t="shared" si="450"/>
        <v>2.9570242972551286</v>
      </c>
      <c r="FC276" s="775"/>
      <c r="FD276" s="775"/>
      <c r="FE276" s="775"/>
      <c r="FF276" s="775"/>
      <c r="FG276" s="775">
        <f>VLOOKUP(TRUE,FK261:GI360,23,FALSE)</f>
        <v>43.045176810273531</v>
      </c>
      <c r="FH276" s="758" t="s">
        <v>917</v>
      </c>
      <c r="FI276" s="775"/>
      <c r="FJ276" s="775"/>
      <c r="FK276" s="775" t="b">
        <f t="shared" si="476"/>
        <v>0</v>
      </c>
      <c r="FL276" s="775">
        <f t="shared" si="451"/>
        <v>0.95734444619571235</v>
      </c>
      <c r="FM276" s="775">
        <v>16</v>
      </c>
      <c r="FN276" s="775">
        <f t="shared" si="477"/>
        <v>42</v>
      </c>
      <c r="FO276" s="673">
        <f t="shared" si="452"/>
        <v>42.957344446195712</v>
      </c>
      <c r="FP276" s="673">
        <f t="shared" si="453"/>
        <v>31.576723317281619</v>
      </c>
      <c r="FQ276" s="775" t="b">
        <f t="shared" si="454"/>
        <v>0</v>
      </c>
      <c r="FR276" s="673"/>
      <c r="FS276" s="775">
        <f t="shared" si="455"/>
        <v>42.957344446195712</v>
      </c>
      <c r="FT276" s="775">
        <f t="shared" si="456"/>
        <v>4.1479941699597331E-2</v>
      </c>
      <c r="FU276" s="775">
        <f t="shared" si="457"/>
        <v>2.0372552482836128E-3</v>
      </c>
      <c r="FV276" s="775">
        <f t="shared" si="458"/>
        <v>9.4200691973654056</v>
      </c>
      <c r="FW276" s="775">
        <f t="shared" si="459"/>
        <v>4.6378213394159973</v>
      </c>
      <c r="FX276" s="775">
        <f t="shared" si="460"/>
        <v>69.969299730286394</v>
      </c>
      <c r="FY276" s="775">
        <f t="shared" si="461"/>
        <v>148.62973395614162</v>
      </c>
      <c r="FZ276" s="775">
        <f t="shared" si="462"/>
        <v>33.722907063016024</v>
      </c>
      <c r="GA276" s="775">
        <f t="shared" si="463"/>
        <v>51.910106042146857</v>
      </c>
      <c r="GB276" s="775">
        <f t="shared" si="464"/>
        <v>58.237838146234651</v>
      </c>
      <c r="GC276" s="775">
        <f t="shared" si="465"/>
        <v>8.4141678015195094</v>
      </c>
      <c r="GD276" s="775">
        <f t="shared" si="466"/>
        <v>48.544384372598593</v>
      </c>
      <c r="GE276" s="775">
        <f t="shared" si="467"/>
        <v>22.065629260272086</v>
      </c>
      <c r="GF276" s="775">
        <f t="shared" si="468"/>
        <v>50.48149739445487</v>
      </c>
      <c r="GG276" s="775">
        <f t="shared" si="469"/>
        <v>42.957344446195712</v>
      </c>
    </row>
    <row r="277" spans="70:189" ht="15" thickTop="1">
      <c r="BR277" s="775"/>
      <c r="BS277" s="775"/>
      <c r="BT277" s="775"/>
      <c r="BU277" s="775"/>
      <c r="BV277" s="775"/>
      <c r="BW277" s="775"/>
      <c r="BX277" s="775"/>
      <c r="BY277" s="775" t="b">
        <f t="shared" si="470"/>
        <v>0</v>
      </c>
      <c r="BZ277" s="775">
        <f t="shared" si="397"/>
        <v>5.1189623843703611</v>
      </c>
      <c r="CA277" s="775">
        <v>17</v>
      </c>
      <c r="CB277" s="775">
        <f t="shared" si="478"/>
        <v>8.5</v>
      </c>
      <c r="CC277" s="673">
        <f t="shared" si="398"/>
        <v>3.3810376156296393</v>
      </c>
      <c r="CD277" s="91">
        <f t="shared" si="396"/>
        <v>2</v>
      </c>
      <c r="CE277" s="775" t="b">
        <f t="shared" si="399"/>
        <v>0</v>
      </c>
      <c r="CF277" s="673"/>
      <c r="CG277" s="775">
        <f t="shared" si="400"/>
        <v>3.3810376156296393</v>
      </c>
      <c r="CH277" s="775">
        <f t="shared" si="401"/>
        <v>0.14760353212209842</v>
      </c>
      <c r="CI277" s="775">
        <f t="shared" si="402"/>
        <v>9.8723073836612663E-3</v>
      </c>
      <c r="CJ277" s="775">
        <f t="shared" si="403"/>
        <v>4.46726391739662</v>
      </c>
      <c r="CK277" s="775">
        <f t="shared" si="404"/>
        <v>2.3944914724399773</v>
      </c>
      <c r="CL277" s="775">
        <f t="shared" si="405"/>
        <v>3.226679338209919</v>
      </c>
      <c r="CM277" s="775">
        <f t="shared" si="406"/>
        <v>6.3449079869992469</v>
      </c>
      <c r="CN277" s="775">
        <f t="shared" si="407"/>
        <v>2.0566432677725812</v>
      </c>
      <c r="CO277" s="775">
        <f t="shared" si="408"/>
        <v>2.9427921088324855</v>
      </c>
      <c r="CP277" s="775">
        <f t="shared" si="409"/>
        <v>184.50441515262304</v>
      </c>
      <c r="CQ277" s="775">
        <f t="shared" si="410"/>
        <v>29.909369954276599</v>
      </c>
      <c r="CR277" s="775">
        <f t="shared" si="471"/>
        <v>7.6908728651625795</v>
      </c>
      <c r="CS277" s="775">
        <f t="shared" si="411"/>
        <v>3.4958513023466269</v>
      </c>
      <c r="CT277" s="775">
        <f t="shared" si="412"/>
        <v>3.3810376156296393</v>
      </c>
      <c r="CU277" s="775">
        <f t="shared" si="413"/>
        <v>2.988552464589755</v>
      </c>
      <c r="CV277" s="775"/>
      <c r="CW277" s="775"/>
      <c r="CX277" s="775"/>
      <c r="CY277" s="775"/>
      <c r="CZ277" s="775"/>
      <c r="DA277" s="775"/>
      <c r="DB277" s="775"/>
      <c r="DC277" s="775"/>
      <c r="DD277" s="775" t="b">
        <f t="shared" si="472"/>
        <v>0</v>
      </c>
      <c r="DE277" s="775">
        <f t="shared" si="414"/>
        <v>3.9867841137854256</v>
      </c>
      <c r="DF277" s="775">
        <v>17</v>
      </c>
      <c r="DG277" s="775">
        <f t="shared" si="473"/>
        <v>41.5</v>
      </c>
      <c r="DH277" s="673">
        <f t="shared" si="415"/>
        <v>45.486784113785426</v>
      </c>
      <c r="DI277" s="673">
        <f t="shared" si="416"/>
        <v>26</v>
      </c>
      <c r="DJ277" s="775" t="b">
        <f t="shared" si="417"/>
        <v>0</v>
      </c>
      <c r="DK277" s="673"/>
      <c r="DL277" s="775">
        <f t="shared" si="418"/>
        <v>45.486784113785426</v>
      </c>
      <c r="DM277" s="775">
        <f t="shared" si="419"/>
        <v>4.2023462679113305E-2</v>
      </c>
      <c r="DN277" s="775">
        <f t="shared" si="420"/>
        <v>2.0639498607324513E-3</v>
      </c>
      <c r="DO277" s="775">
        <f t="shared" si="421"/>
        <v>9.4136803293476348</v>
      </c>
      <c r="DP277" s="775">
        <f t="shared" si="422"/>
        <v>4.6363026418733151</v>
      </c>
      <c r="DQ277" s="775">
        <f t="shared" si="423"/>
        <v>57.424918732852589</v>
      </c>
      <c r="DR277" s="775">
        <f t="shared" si="424"/>
        <v>121.98278997527993</v>
      </c>
      <c r="DS277" s="775">
        <f t="shared" si="425"/>
        <v>33.657347625688125</v>
      </c>
      <c r="DT277" s="775">
        <f t="shared" si="426"/>
        <v>51.817029625069495</v>
      </c>
      <c r="DU277" s="775">
        <f t="shared" si="427"/>
        <v>59.000941601475077</v>
      </c>
      <c r="DV277" s="775">
        <f t="shared" si="428"/>
        <v>8.5244205294142077</v>
      </c>
      <c r="DW277" s="775">
        <f t="shared" si="429"/>
        <v>27.01348074689291</v>
      </c>
      <c r="DX277" s="775">
        <f t="shared" si="430"/>
        <v>12.278854884951322</v>
      </c>
      <c r="DY277" s="775">
        <f t="shared" si="431"/>
        <v>45.486784113785426</v>
      </c>
      <c r="DZ277" s="775">
        <f t="shared" si="432"/>
        <v>42.912637872337378</v>
      </c>
      <c r="EA277" s="775"/>
      <c r="EB277" s="775"/>
      <c r="EC277" s="775"/>
      <c r="ED277" s="775"/>
      <c r="EE277" s="775"/>
      <c r="EF277" s="775" t="b">
        <f t="shared" si="474"/>
        <v>0</v>
      </c>
      <c r="EG277" s="775">
        <f t="shared" si="433"/>
        <v>5.1189623843703611</v>
      </c>
      <c r="EH277" s="775">
        <v>17</v>
      </c>
      <c r="EI277" s="775">
        <f t="shared" si="479"/>
        <v>8.5</v>
      </c>
      <c r="EJ277" s="673">
        <f t="shared" si="434"/>
        <v>3.3810376156296393</v>
      </c>
      <c r="EK277" s="673">
        <f t="shared" si="435"/>
        <v>2.2510196371999172</v>
      </c>
      <c r="EL277" s="775" t="b">
        <f t="shared" si="436"/>
        <v>0</v>
      </c>
      <c r="EM277" s="673"/>
      <c r="EN277" s="775">
        <f t="shared" si="437"/>
        <v>3.3810376156296393</v>
      </c>
      <c r="EO277" s="775">
        <f t="shared" si="438"/>
        <v>0.14760353212209842</v>
      </c>
      <c r="EP277" s="775">
        <f t="shared" si="439"/>
        <v>9.8723073836612663E-3</v>
      </c>
      <c r="EQ277" s="775">
        <f t="shared" si="440"/>
        <v>4.46726391739662</v>
      </c>
      <c r="ER277" s="775">
        <f t="shared" si="441"/>
        <v>2.3944914724399773</v>
      </c>
      <c r="ES277" s="775">
        <f t="shared" si="442"/>
        <v>3.226679338209919</v>
      </c>
      <c r="ET277" s="775">
        <f t="shared" si="443"/>
        <v>6.3449079869992469</v>
      </c>
      <c r="EU277" s="775">
        <f t="shared" si="444"/>
        <v>2.0566432677725812</v>
      </c>
      <c r="EV277" s="775">
        <f t="shared" si="445"/>
        <v>2.9427921088324855</v>
      </c>
      <c r="EW277" s="775">
        <f t="shared" si="446"/>
        <v>184.50441515262304</v>
      </c>
      <c r="EX277" s="775">
        <f t="shared" si="447"/>
        <v>29.909369954276599</v>
      </c>
      <c r="EY277" s="775">
        <f t="shared" si="475"/>
        <v>7.6908728651625795</v>
      </c>
      <c r="EZ277" s="775">
        <f t="shared" si="448"/>
        <v>3.4958513023466269</v>
      </c>
      <c r="FA277" s="775">
        <f t="shared" si="449"/>
        <v>3.3810376156296393</v>
      </c>
      <c r="FB277" s="775">
        <f t="shared" si="450"/>
        <v>2.988552464589755</v>
      </c>
      <c r="FC277" s="775"/>
      <c r="FD277" s="775"/>
      <c r="FE277" s="775"/>
      <c r="FF277" s="775"/>
      <c r="FG277" s="775"/>
      <c r="FH277" s="775"/>
      <c r="FI277" s="775"/>
      <c r="FJ277" s="775"/>
      <c r="FK277" s="775" t="b">
        <f t="shared" si="476"/>
        <v>0</v>
      </c>
      <c r="FL277" s="775">
        <f t="shared" si="451"/>
        <v>1.4126378723373776</v>
      </c>
      <c r="FM277" s="775">
        <v>17</v>
      </c>
      <c r="FN277" s="775">
        <f t="shared" si="477"/>
        <v>41.5</v>
      </c>
      <c r="FO277" s="673">
        <f t="shared" si="452"/>
        <v>42.912637872337378</v>
      </c>
      <c r="FP277" s="673">
        <f t="shared" si="453"/>
        <v>31.576723317281619</v>
      </c>
      <c r="FQ277" s="775" t="b">
        <f t="shared" si="454"/>
        <v>0</v>
      </c>
      <c r="FR277" s="673"/>
      <c r="FS277" s="775">
        <f t="shared" si="455"/>
        <v>42.912637872337378</v>
      </c>
      <c r="FT277" s="775">
        <f t="shared" si="456"/>
        <v>4.2023462679113305E-2</v>
      </c>
      <c r="FU277" s="775">
        <f t="shared" si="457"/>
        <v>2.0639498607324513E-3</v>
      </c>
      <c r="FV277" s="775">
        <f t="shared" si="458"/>
        <v>9.4136803293476348</v>
      </c>
      <c r="FW277" s="775">
        <f t="shared" si="459"/>
        <v>4.6363026418733151</v>
      </c>
      <c r="FX277" s="775">
        <f t="shared" si="460"/>
        <v>69.741952705564174</v>
      </c>
      <c r="FY277" s="775">
        <f t="shared" si="461"/>
        <v>148.14680032767262</v>
      </c>
      <c r="FZ277" s="775">
        <f t="shared" si="462"/>
        <v>33.657347625688125</v>
      </c>
      <c r="GA277" s="775">
        <f t="shared" si="463"/>
        <v>51.817029625069495</v>
      </c>
      <c r="GB277" s="775">
        <f t="shared" si="464"/>
        <v>59.000941601475077</v>
      </c>
      <c r="GC277" s="775">
        <f t="shared" si="465"/>
        <v>8.5244205294142077</v>
      </c>
      <c r="GD277" s="775">
        <f t="shared" si="466"/>
        <v>47.916523419167241</v>
      </c>
      <c r="GE277" s="775">
        <f t="shared" si="467"/>
        <v>21.780237917803291</v>
      </c>
      <c r="GF277" s="775">
        <f t="shared" si="468"/>
        <v>50.399133274152639</v>
      </c>
      <c r="GG277" s="775">
        <f t="shared" si="469"/>
        <v>42.912637872337378</v>
      </c>
    </row>
    <row r="278" spans="70:189">
      <c r="BR278" s="775"/>
      <c r="BS278" s="775"/>
      <c r="BT278" s="775"/>
      <c r="BU278" s="775"/>
      <c r="BV278" s="775"/>
      <c r="BW278" s="775"/>
      <c r="BX278" s="775"/>
      <c r="BY278" s="775" t="b">
        <f t="shared" si="470"/>
        <v>0</v>
      </c>
      <c r="BZ278" s="775">
        <f t="shared" si="397"/>
        <v>5.5563469043171931</v>
      </c>
      <c r="CA278" s="775">
        <v>18</v>
      </c>
      <c r="CB278" s="775">
        <f t="shared" si="478"/>
        <v>9</v>
      </c>
      <c r="CC278" s="673">
        <f t="shared" si="398"/>
        <v>3.4436530956828064</v>
      </c>
      <c r="CD278" s="91">
        <f t="shared" si="396"/>
        <v>2</v>
      </c>
      <c r="CE278" s="775" t="b">
        <f t="shared" si="399"/>
        <v>0</v>
      </c>
      <c r="CF278" s="673"/>
      <c r="CG278" s="775">
        <f t="shared" si="400"/>
        <v>3.4436530956828064</v>
      </c>
      <c r="CH278" s="775">
        <f t="shared" si="401"/>
        <v>0.13956278848757492</v>
      </c>
      <c r="CI278" s="775">
        <f t="shared" si="402"/>
        <v>9.3345106818345808E-3</v>
      </c>
      <c r="CJ278" s="775">
        <f t="shared" si="403"/>
        <v>4.5142227546731943</v>
      </c>
      <c r="CK278" s="775">
        <f t="shared" si="404"/>
        <v>2.4078577702337043</v>
      </c>
      <c r="CL278" s="775">
        <f t="shared" si="405"/>
        <v>3.272183015911788</v>
      </c>
      <c r="CM278" s="775">
        <f t="shared" si="406"/>
        <v>6.434385935635011</v>
      </c>
      <c r="CN278" s="775">
        <f t="shared" si="407"/>
        <v>2.0722545077193915</v>
      </c>
      <c r="CO278" s="775">
        <f t="shared" si="408"/>
        <v>2.9643482983899454</v>
      </c>
      <c r="CP278" s="775">
        <f t="shared" si="409"/>
        <v>174.45348560946866</v>
      </c>
      <c r="CQ278" s="775">
        <f t="shared" si="410"/>
        <v>28.280048673038419</v>
      </c>
      <c r="CR278" s="775">
        <f t="shared" si="471"/>
        <v>8.133973334167548</v>
      </c>
      <c r="CS278" s="775">
        <f t="shared" si="411"/>
        <v>3.6972606064397944</v>
      </c>
      <c r="CT278" s="775">
        <f t="shared" si="412"/>
        <v>3.4436530956828064</v>
      </c>
      <c r="CU278" s="775">
        <f t="shared" si="413"/>
        <v>3.018466571803279</v>
      </c>
      <c r="CV278" s="775"/>
      <c r="CW278" s="775"/>
      <c r="CX278" s="775"/>
      <c r="CY278" s="775"/>
      <c r="CZ278" s="775"/>
      <c r="DA278" s="775"/>
      <c r="DB278" s="775"/>
      <c r="DC278" s="775"/>
      <c r="DD278" s="775" t="b">
        <f t="shared" si="472"/>
        <v>0</v>
      </c>
      <c r="DE278" s="775">
        <f t="shared" si="414"/>
        <v>4.4038827242493568</v>
      </c>
      <c r="DF278" s="775">
        <v>18</v>
      </c>
      <c r="DG278" s="775">
        <f t="shared" si="473"/>
        <v>41</v>
      </c>
      <c r="DH278" s="673">
        <f t="shared" si="415"/>
        <v>45.403882724249357</v>
      </c>
      <c r="DI278" s="673">
        <f t="shared" si="416"/>
        <v>26</v>
      </c>
      <c r="DJ278" s="775" t="b">
        <f t="shared" si="417"/>
        <v>0</v>
      </c>
      <c r="DK278" s="673"/>
      <c r="DL278" s="775">
        <f t="shared" si="418"/>
        <v>45.403882724249357</v>
      </c>
      <c r="DM278" s="775">
        <f t="shared" si="419"/>
        <v>4.2580824227125891E-2</v>
      </c>
      <c r="DN278" s="775">
        <f t="shared" si="420"/>
        <v>2.0913242419961344E-3</v>
      </c>
      <c r="DO278" s="775">
        <f t="shared" si="421"/>
        <v>9.4071404580212228</v>
      </c>
      <c r="DP278" s="775">
        <f t="shared" si="422"/>
        <v>4.6347468196079511</v>
      </c>
      <c r="DQ278" s="775">
        <f t="shared" si="423"/>
        <v>57.236073411937525</v>
      </c>
      <c r="DR278" s="775">
        <f t="shared" si="424"/>
        <v>121.58164218739776</v>
      </c>
      <c r="DS278" s="775">
        <f t="shared" si="425"/>
        <v>33.591094729617055</v>
      </c>
      <c r="DT278" s="775">
        <f t="shared" si="426"/>
        <v>51.72296914390239</v>
      </c>
      <c r="DU278" s="775">
        <f t="shared" si="427"/>
        <v>59.783477214884748</v>
      </c>
      <c r="DV278" s="775">
        <f t="shared" si="428"/>
        <v>8.6374808038248183</v>
      </c>
      <c r="DW278" s="775">
        <f t="shared" si="429"/>
        <v>26.659887886266578</v>
      </c>
      <c r="DX278" s="775">
        <f t="shared" si="430"/>
        <v>12.118130857393899</v>
      </c>
      <c r="DY278" s="775">
        <f t="shared" si="431"/>
        <v>45.403882724249357</v>
      </c>
      <c r="DZ278" s="775">
        <f t="shared" si="432"/>
        <v>42.867387383368609</v>
      </c>
      <c r="EA278" s="775"/>
      <c r="EB278" s="775"/>
      <c r="EC278" s="775"/>
      <c r="ED278" s="775"/>
      <c r="EE278" s="775"/>
      <c r="EF278" s="775" t="b">
        <f t="shared" si="474"/>
        <v>0</v>
      </c>
      <c r="EG278" s="775">
        <f t="shared" si="433"/>
        <v>5.5563469043171931</v>
      </c>
      <c r="EH278" s="775">
        <v>18</v>
      </c>
      <c r="EI278" s="775">
        <f t="shared" si="479"/>
        <v>9</v>
      </c>
      <c r="EJ278" s="673">
        <f t="shared" si="434"/>
        <v>3.4436530956828064</v>
      </c>
      <c r="EK278" s="673">
        <f t="shared" si="435"/>
        <v>2.2510196371999172</v>
      </c>
      <c r="EL278" s="775" t="b">
        <f t="shared" si="436"/>
        <v>0</v>
      </c>
      <c r="EM278" s="673"/>
      <c r="EN278" s="775">
        <f t="shared" si="437"/>
        <v>3.4436530956828064</v>
      </c>
      <c r="EO278" s="775">
        <f t="shared" si="438"/>
        <v>0.13956278848757492</v>
      </c>
      <c r="EP278" s="775">
        <f t="shared" si="439"/>
        <v>9.3345106818345808E-3</v>
      </c>
      <c r="EQ278" s="775">
        <f t="shared" si="440"/>
        <v>4.5142227546731943</v>
      </c>
      <c r="ER278" s="775">
        <f t="shared" si="441"/>
        <v>2.4078577702337043</v>
      </c>
      <c r="ES278" s="775">
        <f t="shared" si="442"/>
        <v>3.272183015911788</v>
      </c>
      <c r="ET278" s="775">
        <f t="shared" si="443"/>
        <v>6.434385935635011</v>
      </c>
      <c r="EU278" s="775">
        <f t="shared" si="444"/>
        <v>2.0722545077193915</v>
      </c>
      <c r="EV278" s="775">
        <f t="shared" si="445"/>
        <v>2.9643482983899454</v>
      </c>
      <c r="EW278" s="775">
        <f t="shared" si="446"/>
        <v>174.45348560946866</v>
      </c>
      <c r="EX278" s="775">
        <f t="shared" si="447"/>
        <v>28.280048673038419</v>
      </c>
      <c r="EY278" s="775">
        <f t="shared" si="475"/>
        <v>8.133973334167548</v>
      </c>
      <c r="EZ278" s="775">
        <f t="shared" si="448"/>
        <v>3.6972606064397944</v>
      </c>
      <c r="FA278" s="775">
        <f t="shared" si="449"/>
        <v>3.4436530956828064</v>
      </c>
      <c r="FB278" s="775">
        <f t="shared" si="450"/>
        <v>3.018466571803279</v>
      </c>
      <c r="FC278" s="775"/>
      <c r="FD278" s="775"/>
      <c r="FE278" s="775"/>
      <c r="FF278" s="775"/>
      <c r="FG278" s="775"/>
      <c r="FH278" s="775"/>
      <c r="FI278" s="775"/>
      <c r="FJ278" s="775"/>
      <c r="FK278" s="775" t="b">
        <f t="shared" si="476"/>
        <v>0</v>
      </c>
      <c r="FL278" s="775">
        <f t="shared" si="451"/>
        <v>1.8673873833686088</v>
      </c>
      <c r="FM278" s="775">
        <v>18</v>
      </c>
      <c r="FN278" s="775">
        <f t="shared" si="477"/>
        <v>41</v>
      </c>
      <c r="FO278" s="673">
        <f t="shared" si="452"/>
        <v>42.867387383368609</v>
      </c>
      <c r="FP278" s="673">
        <f t="shared" si="453"/>
        <v>31.576723317281619</v>
      </c>
      <c r="FQ278" s="775" t="b">
        <f t="shared" si="454"/>
        <v>0</v>
      </c>
      <c r="FR278" s="673"/>
      <c r="FS278" s="775">
        <f t="shared" si="455"/>
        <v>42.867387383368609</v>
      </c>
      <c r="FT278" s="775">
        <f t="shared" si="456"/>
        <v>4.2580824227125891E-2</v>
      </c>
      <c r="FU278" s="775">
        <f t="shared" si="457"/>
        <v>2.0913242419961344E-3</v>
      </c>
      <c r="FV278" s="775">
        <f t="shared" si="458"/>
        <v>9.4071404580212228</v>
      </c>
      <c r="FW278" s="775">
        <f t="shared" si="459"/>
        <v>4.6347468196079511</v>
      </c>
      <c r="FX278" s="775">
        <f t="shared" si="460"/>
        <v>69.512602072937312</v>
      </c>
      <c r="FY278" s="775">
        <f t="shared" si="461"/>
        <v>147.6596106081613</v>
      </c>
      <c r="FZ278" s="775">
        <f t="shared" si="462"/>
        <v>33.591094729617055</v>
      </c>
      <c r="GA278" s="775">
        <f t="shared" si="463"/>
        <v>51.72296914390239</v>
      </c>
      <c r="GB278" s="775">
        <f t="shared" si="464"/>
        <v>59.783477214884748</v>
      </c>
      <c r="GC278" s="775">
        <f t="shared" si="465"/>
        <v>8.6374808038248183</v>
      </c>
      <c r="GD278" s="775">
        <f t="shared" si="466"/>
        <v>47.289320255465334</v>
      </c>
      <c r="GE278" s="775">
        <f t="shared" si="467"/>
        <v>21.495145570666061</v>
      </c>
      <c r="GF278" s="775">
        <f t="shared" si="468"/>
        <v>50.315765187600832</v>
      </c>
      <c r="GG278" s="775">
        <f t="shared" si="469"/>
        <v>42.867387383368609</v>
      </c>
    </row>
    <row r="279" spans="70:189">
      <c r="BR279" s="775"/>
      <c r="BS279" s="775"/>
      <c r="BT279" s="775"/>
      <c r="BU279" s="775"/>
      <c r="BV279" s="775"/>
      <c r="BW279" s="775"/>
      <c r="BX279" s="775"/>
      <c r="BY279" s="775" t="b">
        <f t="shared" si="470"/>
        <v>0</v>
      </c>
      <c r="BZ279" s="775">
        <f t="shared" si="397"/>
        <v>5.9963814394875765</v>
      </c>
      <c r="CA279" s="775">
        <v>19</v>
      </c>
      <c r="CB279" s="775">
        <f t="shared" si="478"/>
        <v>9.5</v>
      </c>
      <c r="CC279" s="673">
        <f t="shared" si="398"/>
        <v>3.503618560512423</v>
      </c>
      <c r="CD279" s="91">
        <f t="shared" si="396"/>
        <v>2</v>
      </c>
      <c r="CE279" s="775" t="b">
        <f t="shared" si="399"/>
        <v>0</v>
      </c>
      <c r="CF279" s="673"/>
      <c r="CG279" s="775">
        <f t="shared" si="400"/>
        <v>3.503618560512423</v>
      </c>
      <c r="CH279" s="775">
        <f t="shared" si="401"/>
        <v>0.13236042842157381</v>
      </c>
      <c r="CI279" s="775">
        <f t="shared" si="402"/>
        <v>8.8527883853752234E-3</v>
      </c>
      <c r="CJ279" s="775">
        <f t="shared" si="403"/>
        <v>4.5573919224527328</v>
      </c>
      <c r="CK279" s="775">
        <f t="shared" si="404"/>
        <v>2.4200224082132031</v>
      </c>
      <c r="CL279" s="775">
        <f t="shared" si="405"/>
        <v>3.3158162425610698</v>
      </c>
      <c r="CM279" s="775">
        <f t="shared" si="406"/>
        <v>6.5201858491830258</v>
      </c>
      <c r="CN279" s="775">
        <f t="shared" si="407"/>
        <v>2.0871167366007546</v>
      </c>
      <c r="CO279" s="775">
        <f t="shared" si="408"/>
        <v>2.9848731526174066</v>
      </c>
      <c r="CP279" s="775">
        <f t="shared" si="409"/>
        <v>165.45053552696726</v>
      </c>
      <c r="CQ279" s="775">
        <f t="shared" si="410"/>
        <v>26.82061170252107</v>
      </c>
      <c r="CR279" s="775">
        <f t="shared" si="471"/>
        <v>8.576581486910408</v>
      </c>
      <c r="CS279" s="775">
        <f t="shared" si="411"/>
        <v>3.8984461304138214</v>
      </c>
      <c r="CT279" s="775">
        <f t="shared" si="412"/>
        <v>3.503618560512423</v>
      </c>
      <c r="CU279" s="775">
        <f t="shared" si="413"/>
        <v>3.0469323265593338</v>
      </c>
      <c r="CV279" s="775"/>
      <c r="CW279" s="775"/>
      <c r="CX279" s="775"/>
      <c r="CY279" s="775"/>
      <c r="CZ279" s="775"/>
      <c r="DA279" s="775"/>
      <c r="DB279" s="775"/>
      <c r="DC279" s="775"/>
      <c r="DD279" s="775" t="b">
        <f t="shared" si="472"/>
        <v>0</v>
      </c>
      <c r="DE279" s="775">
        <f t="shared" si="414"/>
        <v>4.8199858525716479</v>
      </c>
      <c r="DF279" s="775">
        <v>19</v>
      </c>
      <c r="DG279" s="775">
        <f t="shared" si="473"/>
        <v>40.5</v>
      </c>
      <c r="DH279" s="673">
        <f t="shared" si="415"/>
        <v>45.319985852571648</v>
      </c>
      <c r="DI279" s="673">
        <f t="shared" si="416"/>
        <v>26</v>
      </c>
      <c r="DJ279" s="775" t="b">
        <f t="shared" si="417"/>
        <v>0</v>
      </c>
      <c r="DK279" s="673"/>
      <c r="DL279" s="775">
        <f t="shared" si="418"/>
        <v>45.319985852571648</v>
      </c>
      <c r="DM279" s="775">
        <f t="shared" si="419"/>
        <v>4.3152554104165464E-2</v>
      </c>
      <c r="DN279" s="775">
        <f t="shared" si="420"/>
        <v>2.1194043126248432E-3</v>
      </c>
      <c r="DO279" s="775">
        <f t="shared" si="421"/>
        <v>9.4004442536743333</v>
      </c>
      <c r="DP279" s="775">
        <f t="shared" si="422"/>
        <v>4.6331525157572813</v>
      </c>
      <c r="DQ279" s="775">
        <f t="shared" si="423"/>
        <v>57.045543410505637</v>
      </c>
      <c r="DR279" s="775">
        <f t="shared" si="424"/>
        <v>121.17691577834914</v>
      </c>
      <c r="DS279" s="775">
        <f t="shared" si="425"/>
        <v>33.524132459079183</v>
      </c>
      <c r="DT279" s="775">
        <f t="shared" si="426"/>
        <v>51.627901987517248</v>
      </c>
      <c r="DU279" s="775">
        <f t="shared" si="427"/>
        <v>60.586185962248308</v>
      </c>
      <c r="DV279" s="775">
        <f t="shared" si="428"/>
        <v>8.7534556804867059</v>
      </c>
      <c r="DW279" s="775">
        <f t="shared" si="429"/>
        <v>26.306669988982659</v>
      </c>
      <c r="DX279" s="775">
        <f t="shared" si="430"/>
        <v>11.957577267719389</v>
      </c>
      <c r="DY279" s="775">
        <f t="shared" si="431"/>
        <v>45.319985852571648</v>
      </c>
      <c r="DZ279" s="775">
        <f t="shared" si="432"/>
        <v>42.821579654371405</v>
      </c>
      <c r="EA279" s="775"/>
      <c r="EB279" s="775"/>
      <c r="EC279" s="775"/>
      <c r="ED279" s="775"/>
      <c r="EE279" s="775"/>
      <c r="EF279" s="775" t="b">
        <f t="shared" si="474"/>
        <v>0</v>
      </c>
      <c r="EG279" s="775">
        <f t="shared" si="433"/>
        <v>5.9963814394875765</v>
      </c>
      <c r="EH279" s="775">
        <v>19</v>
      </c>
      <c r="EI279" s="775">
        <f t="shared" si="479"/>
        <v>9.5</v>
      </c>
      <c r="EJ279" s="673">
        <f t="shared" si="434"/>
        <v>3.503618560512423</v>
      </c>
      <c r="EK279" s="673">
        <f t="shared" si="435"/>
        <v>2.2510196371999172</v>
      </c>
      <c r="EL279" s="775" t="b">
        <f t="shared" si="436"/>
        <v>0</v>
      </c>
      <c r="EM279" s="673"/>
      <c r="EN279" s="775">
        <f t="shared" si="437"/>
        <v>3.503618560512423</v>
      </c>
      <c r="EO279" s="775">
        <f t="shared" si="438"/>
        <v>0.13236042842157381</v>
      </c>
      <c r="EP279" s="775">
        <f t="shared" si="439"/>
        <v>8.8527883853752234E-3</v>
      </c>
      <c r="EQ279" s="775">
        <f t="shared" si="440"/>
        <v>4.5573919224527328</v>
      </c>
      <c r="ER279" s="775">
        <f t="shared" si="441"/>
        <v>2.4200224082132031</v>
      </c>
      <c r="ES279" s="775">
        <f t="shared" si="442"/>
        <v>3.3158162425610698</v>
      </c>
      <c r="ET279" s="775">
        <f t="shared" si="443"/>
        <v>6.5201858491830258</v>
      </c>
      <c r="EU279" s="775">
        <f t="shared" si="444"/>
        <v>2.0871167366007546</v>
      </c>
      <c r="EV279" s="775">
        <f t="shared" si="445"/>
        <v>2.9848731526174066</v>
      </c>
      <c r="EW279" s="775">
        <f t="shared" si="446"/>
        <v>165.45053552696726</v>
      </c>
      <c r="EX279" s="775">
        <f t="shared" si="447"/>
        <v>26.82061170252107</v>
      </c>
      <c r="EY279" s="775">
        <f t="shared" si="475"/>
        <v>8.576581486910408</v>
      </c>
      <c r="EZ279" s="775">
        <f t="shared" si="448"/>
        <v>3.8984461304138214</v>
      </c>
      <c r="FA279" s="775">
        <f t="shared" si="449"/>
        <v>3.503618560512423</v>
      </c>
      <c r="FB279" s="775">
        <f t="shared" si="450"/>
        <v>3.0469323265593338</v>
      </c>
      <c r="FC279" s="775"/>
      <c r="FD279" s="775"/>
      <c r="FE279" s="775"/>
      <c r="FF279" s="775"/>
      <c r="FG279" s="775"/>
      <c r="FH279" s="775"/>
      <c r="FI279" s="775"/>
      <c r="FJ279" s="775"/>
      <c r="FK279" s="775" t="b">
        <f t="shared" si="476"/>
        <v>0</v>
      </c>
      <c r="FL279" s="775">
        <f t="shared" si="451"/>
        <v>2.3215796543714049</v>
      </c>
      <c r="FM279" s="775">
        <v>19</v>
      </c>
      <c r="FN279" s="775">
        <f t="shared" si="477"/>
        <v>40.5</v>
      </c>
      <c r="FO279" s="673">
        <f t="shared" si="452"/>
        <v>42.821579654371405</v>
      </c>
      <c r="FP279" s="673">
        <f t="shared" si="453"/>
        <v>31.576723317281619</v>
      </c>
      <c r="FQ279" s="775" t="b">
        <f t="shared" si="454"/>
        <v>0</v>
      </c>
      <c r="FR279" s="673"/>
      <c r="FS279" s="775">
        <f t="shared" si="455"/>
        <v>42.821579654371405</v>
      </c>
      <c r="FT279" s="775">
        <f t="shared" si="456"/>
        <v>4.3152554104165464E-2</v>
      </c>
      <c r="FU279" s="775">
        <f t="shared" si="457"/>
        <v>2.1194043126248432E-3</v>
      </c>
      <c r="FV279" s="775">
        <f t="shared" si="458"/>
        <v>9.4004442536743333</v>
      </c>
      <c r="FW279" s="775">
        <f t="shared" si="459"/>
        <v>4.6331525157572813</v>
      </c>
      <c r="FX279" s="775">
        <f t="shared" si="460"/>
        <v>69.281205413750541</v>
      </c>
      <c r="FY279" s="775">
        <f t="shared" si="461"/>
        <v>147.1680746913257</v>
      </c>
      <c r="FZ279" s="775">
        <f t="shared" si="462"/>
        <v>33.524132459079183</v>
      </c>
      <c r="GA279" s="775">
        <f t="shared" si="463"/>
        <v>51.627901987517248</v>
      </c>
      <c r="GB279" s="775">
        <f t="shared" si="464"/>
        <v>60.586185962248308</v>
      </c>
      <c r="GC279" s="775">
        <f t="shared" si="465"/>
        <v>8.7534556804867059</v>
      </c>
      <c r="GD279" s="775">
        <f t="shared" si="466"/>
        <v>46.662782201896626</v>
      </c>
      <c r="GE279" s="775">
        <f t="shared" si="467"/>
        <v>21.210355546316645</v>
      </c>
      <c r="GF279" s="775">
        <f t="shared" si="468"/>
        <v>50.231368887828594</v>
      </c>
      <c r="GG279" s="775">
        <f t="shared" si="469"/>
        <v>42.821579654371405</v>
      </c>
    </row>
    <row r="280" spans="70:189">
      <c r="BR280" s="775"/>
      <c r="BS280" s="775"/>
      <c r="BT280" s="775"/>
      <c r="BU280" s="775"/>
      <c r="BV280" s="775"/>
      <c r="BW280" s="775"/>
      <c r="BX280" s="775"/>
      <c r="BY280" s="775" t="b">
        <f t="shared" si="470"/>
        <v>0</v>
      </c>
      <c r="BZ280" s="775">
        <f t="shared" si="397"/>
        <v>6.438823690501831</v>
      </c>
      <c r="CA280" s="775">
        <v>20</v>
      </c>
      <c r="CB280" s="775">
        <f t="shared" si="478"/>
        <v>10</v>
      </c>
      <c r="CC280" s="673">
        <f t="shared" si="398"/>
        <v>3.5611763094981694</v>
      </c>
      <c r="CD280" s="91">
        <f t="shared" si="396"/>
        <v>2</v>
      </c>
      <c r="CE280" s="775" t="b">
        <f t="shared" si="399"/>
        <v>0</v>
      </c>
      <c r="CF280" s="673"/>
      <c r="CG280" s="775">
        <f t="shared" si="400"/>
        <v>3.5611763094981694</v>
      </c>
      <c r="CH280" s="775">
        <f t="shared" si="401"/>
        <v>0.12587146803481825</v>
      </c>
      <c r="CI280" s="775">
        <f t="shared" si="402"/>
        <v>8.4187810779792135E-3</v>
      </c>
      <c r="CJ280" s="775">
        <f t="shared" si="403"/>
        <v>4.5972173138530579</v>
      </c>
      <c r="CK280" s="775">
        <f t="shared" si="404"/>
        <v>2.4311414875077828</v>
      </c>
      <c r="CL280" s="775">
        <f t="shared" si="405"/>
        <v>3.3577485583965005</v>
      </c>
      <c r="CM280" s="775">
        <f t="shared" si="406"/>
        <v>6.6026411097684186</v>
      </c>
      <c r="CN280" s="775">
        <f t="shared" si="407"/>
        <v>2.1013026426164578</v>
      </c>
      <c r="CO280" s="775">
        <f t="shared" si="408"/>
        <v>3.0044666224597925</v>
      </c>
      <c r="CP280" s="775">
        <f t="shared" si="409"/>
        <v>157.33933504352279</v>
      </c>
      <c r="CQ280" s="775">
        <f t="shared" si="410"/>
        <v>25.505733162449459</v>
      </c>
      <c r="CR280" s="775">
        <f t="shared" si="471"/>
        <v>9.0187237641971709</v>
      </c>
      <c r="CS280" s="775">
        <f t="shared" si="411"/>
        <v>4.0994198928168952</v>
      </c>
      <c r="CT280" s="775">
        <f t="shared" si="412"/>
        <v>3.5611763094981694</v>
      </c>
      <c r="CU280" s="775">
        <f t="shared" si="413"/>
        <v>3.0740907660408299</v>
      </c>
      <c r="CV280" s="775"/>
      <c r="CW280" s="775"/>
      <c r="CX280" s="775"/>
      <c r="CY280" s="775"/>
      <c r="CZ280" s="775"/>
      <c r="DA280" s="775"/>
      <c r="DB280" s="775"/>
      <c r="DC280" s="775"/>
      <c r="DD280" s="775" t="b">
        <f t="shared" si="472"/>
        <v>0</v>
      </c>
      <c r="DE280" s="775">
        <f t="shared" si="414"/>
        <v>5.2350695033282832</v>
      </c>
      <c r="DF280" s="775">
        <v>20</v>
      </c>
      <c r="DG280" s="775">
        <f t="shared" si="473"/>
        <v>40</v>
      </c>
      <c r="DH280" s="673">
        <f t="shared" si="415"/>
        <v>45.235069503328283</v>
      </c>
      <c r="DI280" s="673">
        <f t="shared" si="416"/>
        <v>26</v>
      </c>
      <c r="DJ280" s="775" t="b">
        <f t="shared" si="417"/>
        <v>0</v>
      </c>
      <c r="DK280" s="673"/>
      <c r="DL280" s="775">
        <f t="shared" si="418"/>
        <v>45.235069503328283</v>
      </c>
      <c r="DM280" s="775">
        <f t="shared" si="419"/>
        <v>4.3739207047245265E-2</v>
      </c>
      <c r="DN280" s="775">
        <f t="shared" si="420"/>
        <v>2.1482173180978462E-3</v>
      </c>
      <c r="DO280" s="775">
        <f t="shared" si="421"/>
        <v>9.3935861350122671</v>
      </c>
      <c r="DP280" s="775">
        <f t="shared" si="422"/>
        <v>4.6315183070674824</v>
      </c>
      <c r="DQ280" s="775">
        <f t="shared" si="423"/>
        <v>56.853292619601469</v>
      </c>
      <c r="DR280" s="775">
        <f t="shared" si="424"/>
        <v>120.76853404500196</v>
      </c>
      <c r="DS280" s="775">
        <f t="shared" si="425"/>
        <v>33.456444331262631</v>
      </c>
      <c r="DT280" s="775">
        <f t="shared" si="426"/>
        <v>51.531804738009811</v>
      </c>
      <c r="DU280" s="775">
        <f t="shared" si="427"/>
        <v>61.409846694332352</v>
      </c>
      <c r="DV280" s="775">
        <f t="shared" si="428"/>
        <v>8.8724576872898311</v>
      </c>
      <c r="DW280" s="775">
        <f t="shared" si="429"/>
        <v>25.953831279424072</v>
      </c>
      <c r="DX280" s="775">
        <f t="shared" si="430"/>
        <v>11.79719603610185</v>
      </c>
      <c r="DY280" s="775">
        <f t="shared" si="431"/>
        <v>45.235069503328283</v>
      </c>
      <c r="DZ280" s="775">
        <f t="shared" si="432"/>
        <v>42.775200865028395</v>
      </c>
      <c r="EA280" s="775"/>
      <c r="EB280" s="775"/>
      <c r="EC280" s="775"/>
      <c r="ED280" s="775"/>
      <c r="EE280" s="775"/>
      <c r="EF280" s="775" t="b">
        <f t="shared" si="474"/>
        <v>0</v>
      </c>
      <c r="EG280" s="775">
        <f t="shared" si="433"/>
        <v>6.438823690501831</v>
      </c>
      <c r="EH280" s="775">
        <v>20</v>
      </c>
      <c r="EI280" s="775">
        <f t="shared" si="479"/>
        <v>10</v>
      </c>
      <c r="EJ280" s="673">
        <f t="shared" si="434"/>
        <v>3.5611763094981694</v>
      </c>
      <c r="EK280" s="673">
        <f t="shared" si="435"/>
        <v>2.2510196371999172</v>
      </c>
      <c r="EL280" s="775" t="b">
        <f t="shared" si="436"/>
        <v>0</v>
      </c>
      <c r="EM280" s="673"/>
      <c r="EN280" s="775">
        <f t="shared" si="437"/>
        <v>3.5611763094981694</v>
      </c>
      <c r="EO280" s="775">
        <f t="shared" si="438"/>
        <v>0.12587146803481825</v>
      </c>
      <c r="EP280" s="775">
        <f t="shared" si="439"/>
        <v>8.4187810779792135E-3</v>
      </c>
      <c r="EQ280" s="775">
        <f t="shared" si="440"/>
        <v>4.5972173138530579</v>
      </c>
      <c r="ER280" s="775">
        <f t="shared" si="441"/>
        <v>2.4311414875077828</v>
      </c>
      <c r="ES280" s="775">
        <f t="shared" si="442"/>
        <v>3.3577485583965005</v>
      </c>
      <c r="ET280" s="775">
        <f t="shared" si="443"/>
        <v>6.6026411097684186</v>
      </c>
      <c r="EU280" s="775">
        <f t="shared" si="444"/>
        <v>2.1013026426164578</v>
      </c>
      <c r="EV280" s="775">
        <f t="shared" si="445"/>
        <v>3.0044666224597925</v>
      </c>
      <c r="EW280" s="775">
        <f t="shared" si="446"/>
        <v>157.33933504352279</v>
      </c>
      <c r="EX280" s="775">
        <f t="shared" si="447"/>
        <v>25.505733162449459</v>
      </c>
      <c r="EY280" s="775">
        <f t="shared" si="475"/>
        <v>9.0187237641971709</v>
      </c>
      <c r="EZ280" s="775">
        <f t="shared" si="448"/>
        <v>4.0994198928168952</v>
      </c>
      <c r="FA280" s="775">
        <f t="shared" si="449"/>
        <v>3.5611763094981694</v>
      </c>
      <c r="FB280" s="775">
        <f t="shared" si="450"/>
        <v>3.0740907660408299</v>
      </c>
      <c r="FC280" s="775"/>
      <c r="FD280" s="775"/>
      <c r="FE280" s="775"/>
      <c r="FF280" s="775"/>
      <c r="FG280" s="775"/>
      <c r="FH280" s="775"/>
      <c r="FI280" s="775"/>
      <c r="FJ280" s="775"/>
      <c r="FK280" s="775" t="b">
        <f t="shared" si="476"/>
        <v>0</v>
      </c>
      <c r="FL280" s="775">
        <f t="shared" si="451"/>
        <v>2.7752008650283955</v>
      </c>
      <c r="FM280" s="775">
        <v>20</v>
      </c>
      <c r="FN280" s="775">
        <f t="shared" si="477"/>
        <v>40</v>
      </c>
      <c r="FO280" s="673">
        <f t="shared" si="452"/>
        <v>42.775200865028395</v>
      </c>
      <c r="FP280" s="673">
        <f t="shared" si="453"/>
        <v>31.576723317281619</v>
      </c>
      <c r="FQ280" s="775" t="b">
        <f t="shared" si="454"/>
        <v>0</v>
      </c>
      <c r="FR280" s="673"/>
      <c r="FS280" s="775">
        <f t="shared" si="455"/>
        <v>42.775200865028395</v>
      </c>
      <c r="FT280" s="775">
        <f t="shared" si="456"/>
        <v>4.3739207047245265E-2</v>
      </c>
      <c r="FU280" s="775">
        <f t="shared" si="457"/>
        <v>2.1482173180978462E-3</v>
      </c>
      <c r="FV280" s="775">
        <f t="shared" si="458"/>
        <v>9.3935861350122671</v>
      </c>
      <c r="FW280" s="775">
        <f t="shared" si="459"/>
        <v>4.6315183070674824</v>
      </c>
      <c r="FX280" s="775">
        <f t="shared" si="460"/>
        <v>69.047718874061715</v>
      </c>
      <c r="FY280" s="775">
        <f t="shared" si="461"/>
        <v>146.67209942202817</v>
      </c>
      <c r="FZ280" s="775">
        <f t="shared" si="462"/>
        <v>33.456444331262631</v>
      </c>
      <c r="GA280" s="775">
        <f t="shared" si="463"/>
        <v>51.531804738009811</v>
      </c>
      <c r="GB280" s="775">
        <f t="shared" si="464"/>
        <v>61.409846694332352</v>
      </c>
      <c r="GC280" s="775">
        <f t="shared" si="465"/>
        <v>8.8724576872898311</v>
      </c>
      <c r="GD280" s="775">
        <f t="shared" si="466"/>
        <v>46.036916751673324</v>
      </c>
      <c r="GE280" s="775">
        <f t="shared" si="467"/>
        <v>20.925871250760601</v>
      </c>
      <c r="GF280" s="775">
        <f t="shared" si="468"/>
        <v>50.145919239891541</v>
      </c>
      <c r="GG280" s="775">
        <f t="shared" si="469"/>
        <v>42.775200865028395</v>
      </c>
    </row>
    <row r="281" spans="70:189">
      <c r="BR281" s="32"/>
      <c r="BS281" s="32"/>
      <c r="BT281" s="32"/>
      <c r="BU281" s="32"/>
      <c r="BV281" s="32"/>
      <c r="BW281" s="32"/>
      <c r="BX281" s="32"/>
      <c r="BY281" s="775" t="b">
        <f t="shared" si="470"/>
        <v>0</v>
      </c>
      <c r="BZ281" s="775">
        <f t="shared" si="397"/>
        <v>6.8834643042376022</v>
      </c>
      <c r="CA281" s="775">
        <v>21</v>
      </c>
      <c r="CB281" s="775">
        <f t="shared" si="478"/>
        <v>10.5</v>
      </c>
      <c r="CC281" s="673">
        <f t="shared" si="398"/>
        <v>3.6165356957623978</v>
      </c>
      <c r="CD281" s="91">
        <f t="shared" si="396"/>
        <v>2</v>
      </c>
      <c r="CE281" s="775" t="b">
        <f t="shared" si="399"/>
        <v>0</v>
      </c>
      <c r="CF281" s="673"/>
      <c r="CG281" s="775">
        <f t="shared" si="400"/>
        <v>3.6165356957623978</v>
      </c>
      <c r="CH281" s="775">
        <f t="shared" si="401"/>
        <v>0.11999462264096579</v>
      </c>
      <c r="CI281" s="775">
        <f t="shared" si="402"/>
        <v>8.0257144396661644E-3</v>
      </c>
      <c r="CJ281" s="775">
        <f t="shared" si="403"/>
        <v>4.6340768993951622</v>
      </c>
      <c r="CK281" s="775">
        <f t="shared" si="404"/>
        <v>2.4413450735635149</v>
      </c>
      <c r="CL281" s="775">
        <f t="shared" si="405"/>
        <v>3.3981265589726251</v>
      </c>
      <c r="CM281" s="775">
        <f t="shared" si="406"/>
        <v>6.6820399813329674</v>
      </c>
      <c r="CN281" s="775">
        <f t="shared" si="407"/>
        <v>2.114874643203621</v>
      </c>
      <c r="CO281" s="775">
        <f t="shared" si="408"/>
        <v>3.0232145480032706</v>
      </c>
      <c r="CP281" s="775">
        <f t="shared" si="409"/>
        <v>149.99327830120723</v>
      </c>
      <c r="CQ281" s="775">
        <f t="shared" si="410"/>
        <v>24.314889416898577</v>
      </c>
      <c r="CR281" s="775">
        <f t="shared" si="471"/>
        <v>9.4604239341342478</v>
      </c>
      <c r="CS281" s="775">
        <f t="shared" si="411"/>
        <v>4.300192697333749</v>
      </c>
      <c r="CT281" s="775">
        <f t="shared" si="412"/>
        <v>3.6165356957623978</v>
      </c>
      <c r="CU281" s="775">
        <f t="shared" si="413"/>
        <v>3.1000629588904496</v>
      </c>
      <c r="CV281" s="32"/>
      <c r="CW281" s="32"/>
      <c r="CX281" s="32"/>
      <c r="CY281" s="32"/>
      <c r="CZ281" s="32"/>
      <c r="DA281" s="32"/>
      <c r="DB281" s="32"/>
      <c r="DC281" s="32"/>
      <c r="DD281" s="775" t="b">
        <f t="shared" si="472"/>
        <v>0</v>
      </c>
      <c r="DE281" s="775">
        <f t="shared" si="414"/>
        <v>5.6491087996603042</v>
      </c>
      <c r="DF281" s="775">
        <v>21</v>
      </c>
      <c r="DG281" s="775">
        <f t="shared" si="473"/>
        <v>39.5</v>
      </c>
      <c r="DH281" s="673">
        <f t="shared" si="415"/>
        <v>45.149108799660304</v>
      </c>
      <c r="DI281" s="673">
        <f t="shared" si="416"/>
        <v>26</v>
      </c>
      <c r="DJ281" s="775" t="b">
        <f t="shared" si="417"/>
        <v>0</v>
      </c>
      <c r="DK281" s="673"/>
      <c r="DL281" s="775">
        <f t="shared" si="418"/>
        <v>45.149108799660304</v>
      </c>
      <c r="DM281" s="775">
        <f t="shared" si="419"/>
        <v>4.4341366507887107E-2</v>
      </c>
      <c r="DN281" s="775">
        <f t="shared" si="420"/>
        <v>2.1777919141852879E-3</v>
      </c>
      <c r="DO281" s="775">
        <f t="shared" si="421"/>
        <v>9.3865602542195052</v>
      </c>
      <c r="DP281" s="775">
        <f t="shared" si="422"/>
        <v>4.629842699803703</v>
      </c>
      <c r="DQ281" s="775">
        <f t="shared" si="423"/>
        <v>56.659283693134988</v>
      </c>
      <c r="DR281" s="775">
        <f t="shared" si="424"/>
        <v>120.35641765628598</v>
      </c>
      <c r="DS281" s="775">
        <f t="shared" si="425"/>
        <v>33.388013268689242</v>
      </c>
      <c r="DT281" s="775">
        <f t="shared" si="426"/>
        <v>51.434653131409483</v>
      </c>
      <c r="DU281" s="775">
        <f t="shared" si="427"/>
        <v>62.255278577073497</v>
      </c>
      <c r="DV281" s="775">
        <f t="shared" si="428"/>
        <v>8.9946051768356536</v>
      </c>
      <c r="DW281" s="775">
        <f t="shared" si="429"/>
        <v>25.601376082942306</v>
      </c>
      <c r="DX281" s="775">
        <f t="shared" si="430"/>
        <v>11.636989128610137</v>
      </c>
      <c r="DY281" s="775">
        <f t="shared" si="431"/>
        <v>45.149108799660304</v>
      </c>
      <c r="DZ281" s="775">
        <f t="shared" si="432"/>
        <v>42.728236674757696</v>
      </c>
      <c r="EA281" s="32"/>
      <c r="EB281" s="32"/>
      <c r="EC281" s="32"/>
      <c r="ED281" s="32"/>
      <c r="EE281" s="32"/>
      <c r="EF281" s="775" t="b">
        <f t="shared" si="474"/>
        <v>0</v>
      </c>
      <c r="EG281" s="775">
        <f t="shared" si="433"/>
        <v>6.8834643042376022</v>
      </c>
      <c r="EH281" s="775">
        <v>21</v>
      </c>
      <c r="EI281" s="775">
        <f t="shared" si="479"/>
        <v>10.5</v>
      </c>
      <c r="EJ281" s="673">
        <f t="shared" si="434"/>
        <v>3.6165356957623978</v>
      </c>
      <c r="EK281" s="673">
        <f t="shared" si="435"/>
        <v>2.2510196371999172</v>
      </c>
      <c r="EL281" s="775" t="b">
        <f t="shared" si="436"/>
        <v>0</v>
      </c>
      <c r="EM281" s="673"/>
      <c r="EN281" s="775">
        <f t="shared" si="437"/>
        <v>3.6165356957623978</v>
      </c>
      <c r="EO281" s="775">
        <f t="shared" si="438"/>
        <v>0.11999462264096579</v>
      </c>
      <c r="EP281" s="775">
        <f t="shared" si="439"/>
        <v>8.0257144396661644E-3</v>
      </c>
      <c r="EQ281" s="775">
        <f t="shared" si="440"/>
        <v>4.6340768993951622</v>
      </c>
      <c r="ER281" s="775">
        <f t="shared" si="441"/>
        <v>2.4413450735635149</v>
      </c>
      <c r="ES281" s="775">
        <f t="shared" si="442"/>
        <v>3.3981265589726251</v>
      </c>
      <c r="ET281" s="775">
        <f t="shared" si="443"/>
        <v>6.6820399813329674</v>
      </c>
      <c r="EU281" s="775">
        <f t="shared" si="444"/>
        <v>2.114874643203621</v>
      </c>
      <c r="EV281" s="775">
        <f t="shared" si="445"/>
        <v>3.0232145480032706</v>
      </c>
      <c r="EW281" s="775">
        <f t="shared" si="446"/>
        <v>149.99327830120723</v>
      </c>
      <c r="EX281" s="775">
        <f t="shared" si="447"/>
        <v>24.314889416898577</v>
      </c>
      <c r="EY281" s="775">
        <f t="shared" si="475"/>
        <v>9.4604239341342478</v>
      </c>
      <c r="EZ281" s="775">
        <f t="shared" si="448"/>
        <v>4.300192697333749</v>
      </c>
      <c r="FA281" s="775">
        <f t="shared" si="449"/>
        <v>3.6165356957623978</v>
      </c>
      <c r="FB281" s="775">
        <f t="shared" si="450"/>
        <v>3.1000629588904496</v>
      </c>
      <c r="FC281" s="32"/>
      <c r="FD281" s="32"/>
      <c r="FE281" s="32"/>
      <c r="FF281" s="32"/>
      <c r="FG281" s="32"/>
      <c r="FH281" s="32"/>
      <c r="FI281" s="32"/>
      <c r="FJ281" s="32"/>
      <c r="FK281" s="775" t="b">
        <f t="shared" si="476"/>
        <v>0</v>
      </c>
      <c r="FL281" s="775">
        <f t="shared" si="451"/>
        <v>3.2282366747576958</v>
      </c>
      <c r="FM281" s="775">
        <v>21</v>
      </c>
      <c r="FN281" s="775">
        <f t="shared" si="477"/>
        <v>39.5</v>
      </c>
      <c r="FO281" s="673">
        <f t="shared" si="452"/>
        <v>42.728236674757696</v>
      </c>
      <c r="FP281" s="673">
        <f t="shared" si="453"/>
        <v>31.576723317281619</v>
      </c>
      <c r="FQ281" s="775" t="b">
        <f t="shared" si="454"/>
        <v>0</v>
      </c>
      <c r="FR281" s="673"/>
      <c r="FS281" s="775">
        <f t="shared" si="455"/>
        <v>42.728236674757696</v>
      </c>
      <c r="FT281" s="775">
        <f t="shared" si="456"/>
        <v>4.4341366507887107E-2</v>
      </c>
      <c r="FU281" s="775">
        <f t="shared" si="457"/>
        <v>2.1777919141852879E-3</v>
      </c>
      <c r="FV281" s="775">
        <f t="shared" si="458"/>
        <v>9.3865602542195052</v>
      </c>
      <c r="FW281" s="775">
        <f t="shared" si="459"/>
        <v>4.629842699803703</v>
      </c>
      <c r="FX281" s="775">
        <f t="shared" si="460"/>
        <v>68.812097097441921</v>
      </c>
      <c r="FY281" s="775">
        <f t="shared" si="461"/>
        <v>146.1715884535281</v>
      </c>
      <c r="FZ281" s="775">
        <f t="shared" si="462"/>
        <v>33.388013268689242</v>
      </c>
      <c r="GA281" s="775">
        <f t="shared" si="463"/>
        <v>51.434653131409483</v>
      </c>
      <c r="GB281" s="775">
        <f t="shared" si="464"/>
        <v>62.255278577073497</v>
      </c>
      <c r="GC281" s="775">
        <f t="shared" si="465"/>
        <v>8.9946051768356536</v>
      </c>
      <c r="GD281" s="775">
        <f t="shared" si="466"/>
        <v>45.411731577105684</v>
      </c>
      <c r="GE281" s="775">
        <f t="shared" si="467"/>
        <v>20.641696171411674</v>
      </c>
      <c r="GF281" s="775">
        <f t="shared" si="468"/>
        <v>50.059390176927501</v>
      </c>
      <c r="GG281" s="775">
        <f t="shared" si="469"/>
        <v>42.728236674757696</v>
      </c>
    </row>
    <row r="282" spans="70:189">
      <c r="BR282" s="775"/>
      <c r="BS282" s="775"/>
      <c r="BT282" s="775"/>
      <c r="BU282" s="775"/>
      <c r="BV282" s="775"/>
      <c r="BW282" s="775"/>
      <c r="BX282" s="775"/>
      <c r="BY282" s="775" t="b">
        <f t="shared" si="470"/>
        <v>0</v>
      </c>
      <c r="BZ282" s="775">
        <f t="shared" si="397"/>
        <v>7.3301210618778576</v>
      </c>
      <c r="CA282" s="775">
        <v>22</v>
      </c>
      <c r="CB282" s="775">
        <f t="shared" si="478"/>
        <v>11</v>
      </c>
      <c r="CC282" s="673">
        <f t="shared" si="398"/>
        <v>3.6698789381221424</v>
      </c>
      <c r="CD282" s="91">
        <f t="shared" si="396"/>
        <v>2</v>
      </c>
      <c r="CE282" s="775" t="b">
        <f t="shared" si="399"/>
        <v>0</v>
      </c>
      <c r="CF282" s="673"/>
      <c r="CG282" s="775">
        <f t="shared" si="400"/>
        <v>3.6698789381221424</v>
      </c>
      <c r="CH282" s="775">
        <f t="shared" si="401"/>
        <v>0.11464693955386734</v>
      </c>
      <c r="CI282" s="775">
        <f t="shared" si="402"/>
        <v>7.6680402670550986E-3</v>
      </c>
      <c r="CJ282" s="775">
        <f t="shared" si="403"/>
        <v>4.6682932861202202</v>
      </c>
      <c r="CK282" s="775">
        <f t="shared" si="404"/>
        <v>2.4507424263530981</v>
      </c>
      <c r="CL282" s="775">
        <f t="shared" si="405"/>
        <v>3.437077930236248</v>
      </c>
      <c r="CM282" s="775">
        <f t="shared" si="406"/>
        <v>6.7586335441665906</v>
      </c>
      <c r="CN282" s="775">
        <f t="shared" si="407"/>
        <v>2.1278867484411794</v>
      </c>
      <c r="CO282" s="775">
        <f t="shared" si="408"/>
        <v>3.0411912170218245</v>
      </c>
      <c r="CP282" s="775">
        <f t="shared" si="409"/>
        <v>143.30867444233419</v>
      </c>
      <c r="CQ282" s="775">
        <f t="shared" si="410"/>
        <v>23.231271501048525</v>
      </c>
      <c r="CR282" s="775">
        <f t="shared" si="471"/>
        <v>9.9017034769307681</v>
      </c>
      <c r="CS282" s="775">
        <f t="shared" si="411"/>
        <v>4.5007743076958029</v>
      </c>
      <c r="CT282" s="775">
        <f t="shared" si="412"/>
        <v>3.6698789381221424</v>
      </c>
      <c r="CU282" s="775">
        <f t="shared" si="413"/>
        <v>3.1249536331301613</v>
      </c>
      <c r="CV282" s="775"/>
      <c r="CW282" s="775"/>
      <c r="CX282" s="775"/>
      <c r="CY282" s="775"/>
      <c r="CZ282" s="775"/>
      <c r="DA282" s="775"/>
      <c r="DB282" s="775"/>
      <c r="DC282" s="775"/>
      <c r="DD282" s="775" t="b">
        <f t="shared" si="472"/>
        <v>0</v>
      </c>
      <c r="DE282" s="775">
        <f t="shared" si="414"/>
        <v>6.0620779394057465</v>
      </c>
      <c r="DF282" s="775">
        <v>22</v>
      </c>
      <c r="DG282" s="775">
        <f t="shared" si="473"/>
        <v>39</v>
      </c>
      <c r="DH282" s="673">
        <f t="shared" si="415"/>
        <v>45.062077939405746</v>
      </c>
      <c r="DI282" s="673">
        <f t="shared" si="416"/>
        <v>26</v>
      </c>
      <c r="DJ282" s="775" t="b">
        <f t="shared" si="417"/>
        <v>0</v>
      </c>
      <c r="DK282" s="673"/>
      <c r="DL282" s="775">
        <f t="shared" si="418"/>
        <v>45.062077939405746</v>
      </c>
      <c r="DM282" s="775">
        <f t="shared" si="419"/>
        <v>4.4959646525854505E-2</v>
      </c>
      <c r="DN282" s="775">
        <f t="shared" si="420"/>
        <v>2.2081582589751408E-3</v>
      </c>
      <c r="DO282" s="775">
        <f t="shared" si="421"/>
        <v>9.3793604809488897</v>
      </c>
      <c r="DP282" s="775">
        <f t="shared" si="422"/>
        <v>4.6281241253552095</v>
      </c>
      <c r="DQ282" s="775">
        <f t="shared" si="423"/>
        <v>56.463477989222447</v>
      </c>
      <c r="DR282" s="775">
        <f t="shared" si="424"/>
        <v>119.94048452858857</v>
      </c>
      <c r="DS282" s="775">
        <f t="shared" si="425"/>
        <v>33.318821569927657</v>
      </c>
      <c r="DT282" s="775">
        <f t="shared" si="426"/>
        <v>51.336422015951023</v>
      </c>
      <c r="DU282" s="775">
        <f t="shared" si="427"/>
        <v>63.123343722299722</v>
      </c>
      <c r="DV282" s="775">
        <f t="shared" si="428"/>
        <v>9.1200227065221693</v>
      </c>
      <c r="DW282" s="775">
        <f t="shared" si="429"/>
        <v>25.249308829578801</v>
      </c>
      <c r="DX282" s="775">
        <f t="shared" si="430"/>
        <v>11.476958558899454</v>
      </c>
      <c r="DY282" s="775">
        <f t="shared" si="431"/>
        <v>45.062077939405746</v>
      </c>
      <c r="DZ282" s="775">
        <f t="shared" si="432"/>
        <v>42.680672196267736</v>
      </c>
      <c r="EA282" s="775"/>
      <c r="EB282" s="775"/>
      <c r="EC282" s="775"/>
      <c r="ED282" s="775"/>
      <c r="EE282" s="775"/>
      <c r="EF282" s="775" t="b">
        <f t="shared" si="474"/>
        <v>0</v>
      </c>
      <c r="EG282" s="775">
        <f t="shared" si="433"/>
        <v>7.3301210618778576</v>
      </c>
      <c r="EH282" s="775">
        <v>22</v>
      </c>
      <c r="EI282" s="775">
        <f t="shared" si="479"/>
        <v>11</v>
      </c>
      <c r="EJ282" s="673">
        <f t="shared" si="434"/>
        <v>3.6698789381221424</v>
      </c>
      <c r="EK282" s="673">
        <f t="shared" si="435"/>
        <v>2.2510196371999172</v>
      </c>
      <c r="EL282" s="775" t="b">
        <f t="shared" si="436"/>
        <v>0</v>
      </c>
      <c r="EM282" s="673"/>
      <c r="EN282" s="775">
        <f t="shared" si="437"/>
        <v>3.6698789381221424</v>
      </c>
      <c r="EO282" s="775">
        <f t="shared" si="438"/>
        <v>0.11464693955386734</v>
      </c>
      <c r="EP282" s="775">
        <f t="shared" si="439"/>
        <v>7.6680402670550986E-3</v>
      </c>
      <c r="EQ282" s="775">
        <f t="shared" si="440"/>
        <v>4.6682932861202202</v>
      </c>
      <c r="ER282" s="775">
        <f t="shared" si="441"/>
        <v>2.4507424263530981</v>
      </c>
      <c r="ES282" s="775">
        <f t="shared" si="442"/>
        <v>3.437077930236248</v>
      </c>
      <c r="ET282" s="775">
        <f t="shared" si="443"/>
        <v>6.7586335441665906</v>
      </c>
      <c r="EU282" s="775">
        <f t="shared" si="444"/>
        <v>2.1278867484411794</v>
      </c>
      <c r="EV282" s="775">
        <f t="shared" si="445"/>
        <v>3.0411912170218245</v>
      </c>
      <c r="EW282" s="775">
        <f t="shared" si="446"/>
        <v>143.30867444233419</v>
      </c>
      <c r="EX282" s="775">
        <f t="shared" si="447"/>
        <v>23.231271501048525</v>
      </c>
      <c r="EY282" s="775">
        <f t="shared" si="475"/>
        <v>9.9017034769307681</v>
      </c>
      <c r="EZ282" s="775">
        <f t="shared" si="448"/>
        <v>4.5007743076958029</v>
      </c>
      <c r="FA282" s="775">
        <f t="shared" si="449"/>
        <v>3.6698789381221424</v>
      </c>
      <c r="FB282" s="775">
        <f t="shared" si="450"/>
        <v>3.1249536331301613</v>
      </c>
      <c r="FC282" s="775"/>
      <c r="FD282" s="775"/>
      <c r="FE282" s="775"/>
      <c r="FF282" s="775"/>
      <c r="FG282" s="775"/>
      <c r="FH282" s="775"/>
      <c r="FI282" s="775"/>
      <c r="FJ282" s="775"/>
      <c r="FK282" s="775" t="b">
        <f t="shared" si="476"/>
        <v>0</v>
      </c>
      <c r="FL282" s="775">
        <f t="shared" si="451"/>
        <v>3.6806721962677358</v>
      </c>
      <c r="FM282" s="775">
        <v>22</v>
      </c>
      <c r="FN282" s="775">
        <f t="shared" si="477"/>
        <v>39</v>
      </c>
      <c r="FO282" s="673">
        <f t="shared" si="452"/>
        <v>42.680672196267736</v>
      </c>
      <c r="FP282" s="673">
        <f t="shared" si="453"/>
        <v>31.576723317281619</v>
      </c>
      <c r="FQ282" s="775" t="b">
        <f t="shared" si="454"/>
        <v>0</v>
      </c>
      <c r="FR282" s="673"/>
      <c r="FS282" s="775">
        <f t="shared" si="455"/>
        <v>42.680672196267736</v>
      </c>
      <c r="FT282" s="775">
        <f t="shared" si="456"/>
        <v>4.4959646525854505E-2</v>
      </c>
      <c r="FU282" s="775">
        <f t="shared" si="457"/>
        <v>2.2081582589751408E-3</v>
      </c>
      <c r="FV282" s="775">
        <f t="shared" si="458"/>
        <v>9.3793604809488897</v>
      </c>
      <c r="FW282" s="775">
        <f t="shared" si="459"/>
        <v>4.6281241253552095</v>
      </c>
      <c r="FX282" s="775">
        <f t="shared" si="460"/>
        <v>68.574293153734544</v>
      </c>
      <c r="FY282" s="775">
        <f t="shared" si="461"/>
        <v>145.66644209615146</v>
      </c>
      <c r="FZ282" s="775">
        <f t="shared" si="462"/>
        <v>33.318821569927657</v>
      </c>
      <c r="GA282" s="775">
        <f t="shared" si="463"/>
        <v>51.336422015951023</v>
      </c>
      <c r="GB282" s="775">
        <f t="shared" si="464"/>
        <v>63.123343722299722</v>
      </c>
      <c r="GC282" s="775">
        <f t="shared" si="465"/>
        <v>9.1200227065221693</v>
      </c>
      <c r="GD282" s="775">
        <f t="shared" si="466"/>
        <v>44.787234536203073</v>
      </c>
      <c r="GE282" s="775">
        <f t="shared" si="467"/>
        <v>20.357833880092304</v>
      </c>
      <c r="GF282" s="775">
        <f t="shared" si="468"/>
        <v>49.971754653456145</v>
      </c>
      <c r="GG282" s="775">
        <f t="shared" si="469"/>
        <v>42.680672196267736</v>
      </c>
    </row>
    <row r="283" spans="70:189">
      <c r="BR283" s="775"/>
      <c r="BS283" s="775"/>
      <c r="BT283" s="775"/>
      <c r="BU283" s="775"/>
      <c r="BV283" s="775"/>
      <c r="BW283" s="775"/>
      <c r="BX283" s="775"/>
      <c r="BY283" s="775" t="b">
        <f t="shared" si="470"/>
        <v>0</v>
      </c>
      <c r="BZ283" s="775">
        <f t="shared" si="397"/>
        <v>7.7786343063926937</v>
      </c>
      <c r="CA283" s="775">
        <v>23</v>
      </c>
      <c r="CB283" s="775">
        <f t="shared" si="478"/>
        <v>11.5</v>
      </c>
      <c r="CC283" s="673">
        <f t="shared" si="398"/>
        <v>3.7213656936073063</v>
      </c>
      <c r="CD283" s="91">
        <f t="shared" si="396"/>
        <v>2</v>
      </c>
      <c r="CE283" s="775" t="b">
        <f t="shared" si="399"/>
        <v>0</v>
      </c>
      <c r="CF283" s="673"/>
      <c r="CG283" s="775">
        <f t="shared" si="400"/>
        <v>3.7213656936073063</v>
      </c>
      <c r="CH283" s="775">
        <f t="shared" si="401"/>
        <v>0.10975982700010306</v>
      </c>
      <c r="CI283" s="775">
        <f t="shared" si="402"/>
        <v>7.341170871345783E-3</v>
      </c>
      <c r="CJ283" s="775">
        <f t="shared" si="403"/>
        <v>4.7001435695440197</v>
      </c>
      <c r="CK283" s="775">
        <f t="shared" si="404"/>
        <v>2.459426014594039</v>
      </c>
      <c r="CL283" s="775">
        <f t="shared" si="405"/>
        <v>3.4747146250358956</v>
      </c>
      <c r="CM283" s="775">
        <f t="shared" si="406"/>
        <v>6.8326419411618176</v>
      </c>
      <c r="CN283" s="775">
        <f t="shared" si="407"/>
        <v>2.140386018257884</v>
      </c>
      <c r="CO283" s="775">
        <f t="shared" si="408"/>
        <v>3.0584613660538098</v>
      </c>
      <c r="CP283" s="775">
        <f t="shared" si="409"/>
        <v>137.19978375012883</v>
      </c>
      <c r="CQ283" s="775">
        <f t="shared" si="410"/>
        <v>22.240980447188019</v>
      </c>
      <c r="CR283" s="775">
        <f t="shared" si="471"/>
        <v>10.342581899285738</v>
      </c>
      <c r="CS283" s="775">
        <f t="shared" si="411"/>
        <v>4.7011735905844265</v>
      </c>
      <c r="CT283" s="775">
        <f t="shared" si="412"/>
        <v>3.7213656936073063</v>
      </c>
      <c r="CU283" s="775">
        <f t="shared" si="413"/>
        <v>3.1488540124074023</v>
      </c>
      <c r="CV283" s="775"/>
      <c r="CW283" s="775"/>
      <c r="CX283" s="775"/>
      <c r="CY283" s="775"/>
      <c r="CZ283" s="775"/>
      <c r="DA283" s="775"/>
      <c r="DB283" s="775"/>
      <c r="DC283" s="775"/>
      <c r="DD283" s="775" t="b">
        <f t="shared" si="472"/>
        <v>0</v>
      </c>
      <c r="DE283" s="775">
        <f t="shared" si="414"/>
        <v>6.4739501484597568</v>
      </c>
      <c r="DF283" s="775">
        <v>23</v>
      </c>
      <c r="DG283" s="775">
        <f t="shared" si="473"/>
        <v>38.5</v>
      </c>
      <c r="DH283" s="673">
        <f t="shared" si="415"/>
        <v>44.973950148459757</v>
      </c>
      <c r="DI283" s="673">
        <f t="shared" si="416"/>
        <v>26</v>
      </c>
      <c r="DJ283" s="775" t="b">
        <f t="shared" si="417"/>
        <v>0</v>
      </c>
      <c r="DK283" s="673"/>
      <c r="DL283" s="775">
        <f t="shared" si="418"/>
        <v>44.973950148459757</v>
      </c>
      <c r="DM283" s="775">
        <f t="shared" si="419"/>
        <v>4.5594693751090612E-2</v>
      </c>
      <c r="DN283" s="775">
        <f t="shared" si="420"/>
        <v>2.2393481121791236E-3</v>
      </c>
      <c r="DO283" s="775">
        <f t="shared" si="421"/>
        <v>9.3719803851471202</v>
      </c>
      <c r="DP283" s="775">
        <f t="shared" si="422"/>
        <v>4.6263609355087283</v>
      </c>
      <c r="DQ283" s="775">
        <f t="shared" si="423"/>
        <v>56.265835507954463</v>
      </c>
      <c r="DR283" s="775">
        <f t="shared" si="424"/>
        <v>119.52064969356054</v>
      </c>
      <c r="DS283" s="775">
        <f t="shared" si="425"/>
        <v>33.248850878468311</v>
      </c>
      <c r="DT283" s="775">
        <f t="shared" si="426"/>
        <v>51.237085307723532</v>
      </c>
      <c r="DU283" s="775">
        <f t="shared" si="427"/>
        <v>64.014950026531224</v>
      </c>
      <c r="DV283" s="775">
        <f t="shared" si="428"/>
        <v>9.2488414486921435</v>
      </c>
      <c r="DW283" s="775">
        <f t="shared" si="429"/>
        <v>24.897634057972947</v>
      </c>
      <c r="DX283" s="775">
        <f t="shared" si="430"/>
        <v>11.317106389987702</v>
      </c>
      <c r="DY283" s="775">
        <f t="shared" si="431"/>
        <v>44.973950148459757</v>
      </c>
      <c r="DZ283" s="775">
        <f t="shared" si="432"/>
        <v>42.632491967409976</v>
      </c>
      <c r="EA283" s="775"/>
      <c r="EB283" s="775"/>
      <c r="EC283" s="775"/>
      <c r="ED283" s="775"/>
      <c r="EE283" s="775"/>
      <c r="EF283" s="775" t="b">
        <f t="shared" si="474"/>
        <v>0</v>
      </c>
      <c r="EG283" s="775">
        <f t="shared" si="433"/>
        <v>7.7786343063926937</v>
      </c>
      <c r="EH283" s="775">
        <v>23</v>
      </c>
      <c r="EI283" s="775">
        <f t="shared" si="479"/>
        <v>11.5</v>
      </c>
      <c r="EJ283" s="673">
        <f t="shared" si="434"/>
        <v>3.7213656936073063</v>
      </c>
      <c r="EK283" s="673">
        <f t="shared" si="435"/>
        <v>2.2510196371999172</v>
      </c>
      <c r="EL283" s="775" t="b">
        <f t="shared" si="436"/>
        <v>0</v>
      </c>
      <c r="EM283" s="673"/>
      <c r="EN283" s="775">
        <f t="shared" si="437"/>
        <v>3.7213656936073063</v>
      </c>
      <c r="EO283" s="775">
        <f t="shared" si="438"/>
        <v>0.10975982700010306</v>
      </c>
      <c r="EP283" s="775">
        <f t="shared" si="439"/>
        <v>7.341170871345783E-3</v>
      </c>
      <c r="EQ283" s="775">
        <f t="shared" si="440"/>
        <v>4.7001435695440197</v>
      </c>
      <c r="ER283" s="775">
        <f t="shared" si="441"/>
        <v>2.459426014594039</v>
      </c>
      <c r="ES283" s="775">
        <f t="shared" si="442"/>
        <v>3.4747146250358956</v>
      </c>
      <c r="ET283" s="775">
        <f t="shared" si="443"/>
        <v>6.8326419411618176</v>
      </c>
      <c r="EU283" s="775">
        <f t="shared" si="444"/>
        <v>2.140386018257884</v>
      </c>
      <c r="EV283" s="775">
        <f t="shared" si="445"/>
        <v>3.0584613660538098</v>
      </c>
      <c r="EW283" s="775">
        <f t="shared" si="446"/>
        <v>137.19978375012883</v>
      </c>
      <c r="EX283" s="775">
        <f t="shared" si="447"/>
        <v>22.240980447188019</v>
      </c>
      <c r="EY283" s="775">
        <f t="shared" si="475"/>
        <v>10.342581899285738</v>
      </c>
      <c r="EZ283" s="775">
        <f t="shared" si="448"/>
        <v>4.7011735905844265</v>
      </c>
      <c r="FA283" s="775">
        <f t="shared" si="449"/>
        <v>3.7213656936073063</v>
      </c>
      <c r="FB283" s="775">
        <f t="shared" si="450"/>
        <v>3.1488540124074023</v>
      </c>
      <c r="FC283" s="775"/>
      <c r="FD283" s="775"/>
      <c r="FE283" s="775"/>
      <c r="FF283" s="775"/>
      <c r="FG283" s="775"/>
      <c r="FH283" s="775"/>
      <c r="FI283" s="775"/>
      <c r="FJ283" s="775"/>
      <c r="FK283" s="775" t="b">
        <f t="shared" si="476"/>
        <v>0</v>
      </c>
      <c r="FL283" s="775">
        <f t="shared" si="451"/>
        <v>4.132491967409976</v>
      </c>
      <c r="FM283" s="775">
        <v>23</v>
      </c>
      <c r="FN283" s="775">
        <f t="shared" si="477"/>
        <v>38.5</v>
      </c>
      <c r="FO283" s="673">
        <f t="shared" si="452"/>
        <v>42.632491967409976</v>
      </c>
      <c r="FP283" s="673">
        <f t="shared" si="453"/>
        <v>31.576723317281619</v>
      </c>
      <c r="FQ283" s="775" t="b">
        <f t="shared" si="454"/>
        <v>0</v>
      </c>
      <c r="FR283" s="673"/>
      <c r="FS283" s="775">
        <f t="shared" si="455"/>
        <v>42.632491967409976</v>
      </c>
      <c r="FT283" s="775">
        <f t="shared" si="456"/>
        <v>4.5594693751090612E-2</v>
      </c>
      <c r="FU283" s="775">
        <f t="shared" si="457"/>
        <v>2.2393481121791236E-3</v>
      </c>
      <c r="FV283" s="775">
        <f t="shared" si="458"/>
        <v>9.3719803851471202</v>
      </c>
      <c r="FW283" s="775">
        <f t="shared" si="459"/>
        <v>4.6263609355087283</v>
      </c>
      <c r="FX283" s="775">
        <f t="shared" si="460"/>
        <v>68.334258463475294</v>
      </c>
      <c r="FY283" s="775">
        <f t="shared" si="461"/>
        <v>145.15655715674237</v>
      </c>
      <c r="FZ283" s="775">
        <f t="shared" si="462"/>
        <v>33.248850878468311</v>
      </c>
      <c r="GA283" s="775">
        <f t="shared" si="463"/>
        <v>51.237085307723532</v>
      </c>
      <c r="GB283" s="775">
        <f t="shared" si="464"/>
        <v>64.014950026531224</v>
      </c>
      <c r="GC283" s="775">
        <f t="shared" si="465"/>
        <v>9.2488414486921435</v>
      </c>
      <c r="GD283" s="775">
        <f t="shared" si="466"/>
        <v>44.16343367960593</v>
      </c>
      <c r="GE283" s="775">
        <f t="shared" si="467"/>
        <v>20.074288036184512</v>
      </c>
      <c r="GF283" s="775">
        <f t="shared" si="468"/>
        <v>49.882984595711577</v>
      </c>
      <c r="GG283" s="775">
        <f t="shared" si="469"/>
        <v>42.632491967409976</v>
      </c>
    </row>
    <row r="284" spans="70:189">
      <c r="BR284" s="775"/>
      <c r="BS284" s="775"/>
      <c r="BT284" s="775"/>
      <c r="BU284" s="775"/>
      <c r="BV284" s="775"/>
      <c r="BW284" s="775"/>
      <c r="BX284" s="775"/>
      <c r="BY284" s="775" t="b">
        <f t="shared" si="470"/>
        <v>0</v>
      </c>
      <c r="BZ284" s="775">
        <f t="shared" si="397"/>
        <v>8.2288633033521155</v>
      </c>
      <c r="CA284" s="775">
        <v>24</v>
      </c>
      <c r="CB284" s="775">
        <f t="shared" si="478"/>
        <v>12</v>
      </c>
      <c r="CC284" s="673">
        <f t="shared" si="398"/>
        <v>3.771136696647885</v>
      </c>
      <c r="CD284" s="91">
        <f t="shared" si="396"/>
        <v>2</v>
      </c>
      <c r="CE284" s="775" t="b">
        <f t="shared" si="399"/>
        <v>0</v>
      </c>
      <c r="CF284" s="673"/>
      <c r="CG284" s="775">
        <f t="shared" si="400"/>
        <v>3.771136696647885</v>
      </c>
      <c r="CH284" s="775">
        <f t="shared" si="401"/>
        <v>0.1052760729295978</v>
      </c>
      <c r="CI284" s="775">
        <f t="shared" si="402"/>
        <v>7.041279684594547E-3</v>
      </c>
      <c r="CJ284" s="775">
        <f t="shared" si="403"/>
        <v>4.7298671401592749</v>
      </c>
      <c r="CK284" s="775">
        <f t="shared" si="404"/>
        <v>2.4674746324000849</v>
      </c>
      <c r="CL284" s="775">
        <f t="shared" si="405"/>
        <v>3.5111353927357176</v>
      </c>
      <c r="CM284" s="775">
        <f t="shared" si="406"/>
        <v>6.9042593520197064</v>
      </c>
      <c r="CN284" s="775">
        <f t="shared" si="407"/>
        <v>2.1524137155738052</v>
      </c>
      <c r="CO284" s="775">
        <f t="shared" si="408"/>
        <v>3.0750817641218728</v>
      </c>
      <c r="CP284" s="775">
        <f t="shared" si="409"/>
        <v>131.59509116199726</v>
      </c>
      <c r="CQ284" s="775">
        <f t="shared" si="410"/>
        <v>21.33242319689267</v>
      </c>
      <c r="CR284" s="775">
        <f t="shared" si="471"/>
        <v>10.783076993754815</v>
      </c>
      <c r="CS284" s="775">
        <f t="shared" si="411"/>
        <v>4.9013986335249156</v>
      </c>
      <c r="CT284" s="775">
        <f t="shared" si="412"/>
        <v>3.771136696647885</v>
      </c>
      <c r="CU284" s="775">
        <f t="shared" si="413"/>
        <v>3.1718440597864785</v>
      </c>
      <c r="CV284" s="775"/>
      <c r="CW284" s="775"/>
      <c r="CX284" s="775"/>
      <c r="CY284" s="775"/>
      <c r="CZ284" s="775"/>
      <c r="DA284" s="775"/>
      <c r="DB284" s="775"/>
      <c r="DC284" s="775"/>
      <c r="DD284" s="775" t="b">
        <f t="shared" si="472"/>
        <v>0</v>
      </c>
      <c r="DE284" s="775">
        <f t="shared" si="414"/>
        <v>6.8846976311496064</v>
      </c>
      <c r="DF284" s="775">
        <v>24</v>
      </c>
      <c r="DG284" s="775">
        <f t="shared" si="473"/>
        <v>38</v>
      </c>
      <c r="DH284" s="673">
        <f t="shared" si="415"/>
        <v>44.884697631149606</v>
      </c>
      <c r="DI284" s="673">
        <f t="shared" si="416"/>
        <v>26</v>
      </c>
      <c r="DJ284" s="775" t="b">
        <f t="shared" si="417"/>
        <v>0</v>
      </c>
      <c r="DK284" s="673"/>
      <c r="DL284" s="775">
        <f t="shared" si="418"/>
        <v>44.884697631149606</v>
      </c>
      <c r="DM284" s="775">
        <f t="shared" si="419"/>
        <v>4.6247189627688638E-2</v>
      </c>
      <c r="DN284" s="775">
        <f t="shared" si="420"/>
        <v>2.2713949423967188E-3</v>
      </c>
      <c r="DO284" s="775">
        <f t="shared" si="421"/>
        <v>9.3644132186170204</v>
      </c>
      <c r="DP284" s="775">
        <f t="shared" si="422"/>
        <v>4.624551397360448</v>
      </c>
      <c r="DQ284" s="775">
        <f t="shared" si="423"/>
        <v>56.066314825323971</v>
      </c>
      <c r="DR284" s="775">
        <f t="shared" si="424"/>
        <v>119.09682515776515</v>
      </c>
      <c r="DS284" s="775">
        <f t="shared" si="425"/>
        <v>33.178082149619392</v>
      </c>
      <c r="DT284" s="775">
        <f t="shared" si="426"/>
        <v>51.136615943495393</v>
      </c>
      <c r="DU284" s="775">
        <f t="shared" si="427"/>
        <v>64.93105423727485</v>
      </c>
      <c r="DV284" s="775">
        <f t="shared" si="428"/>
        <v>9.3811996336494925</v>
      </c>
      <c r="DW284" s="775">
        <f t="shared" si="429"/>
        <v>24.546356419468673</v>
      </c>
      <c r="DX284" s="775">
        <f t="shared" si="430"/>
        <v>11.157434736122124</v>
      </c>
      <c r="DY284" s="775">
        <f t="shared" si="431"/>
        <v>44.884697631149606</v>
      </c>
      <c r="DZ284" s="775">
        <f t="shared" si="432"/>
        <v>42.583679921196264</v>
      </c>
      <c r="EA284" s="775"/>
      <c r="EB284" s="775"/>
      <c r="EC284" s="775"/>
      <c r="ED284" s="775"/>
      <c r="EE284" s="775"/>
      <c r="EF284" s="775" t="b">
        <f t="shared" si="474"/>
        <v>0</v>
      </c>
      <c r="EG284" s="775">
        <f t="shared" si="433"/>
        <v>8.2288633033521155</v>
      </c>
      <c r="EH284" s="775">
        <v>24</v>
      </c>
      <c r="EI284" s="775">
        <f t="shared" si="479"/>
        <v>12</v>
      </c>
      <c r="EJ284" s="673">
        <f t="shared" si="434"/>
        <v>3.771136696647885</v>
      </c>
      <c r="EK284" s="673">
        <f t="shared" si="435"/>
        <v>2.2510196371999172</v>
      </c>
      <c r="EL284" s="775" t="b">
        <f t="shared" si="436"/>
        <v>0</v>
      </c>
      <c r="EM284" s="673"/>
      <c r="EN284" s="775">
        <f t="shared" si="437"/>
        <v>3.771136696647885</v>
      </c>
      <c r="EO284" s="775">
        <f t="shared" si="438"/>
        <v>0.1052760729295978</v>
      </c>
      <c r="EP284" s="775">
        <f t="shared" si="439"/>
        <v>7.041279684594547E-3</v>
      </c>
      <c r="EQ284" s="775">
        <f t="shared" si="440"/>
        <v>4.7298671401592749</v>
      </c>
      <c r="ER284" s="775">
        <f t="shared" si="441"/>
        <v>2.4674746324000849</v>
      </c>
      <c r="ES284" s="775">
        <f t="shared" si="442"/>
        <v>3.5111353927357176</v>
      </c>
      <c r="ET284" s="775">
        <f t="shared" si="443"/>
        <v>6.9042593520197064</v>
      </c>
      <c r="EU284" s="775">
        <f t="shared" si="444"/>
        <v>2.1524137155738052</v>
      </c>
      <c r="EV284" s="775">
        <f t="shared" si="445"/>
        <v>3.0750817641218728</v>
      </c>
      <c r="EW284" s="775">
        <f t="shared" si="446"/>
        <v>131.59509116199726</v>
      </c>
      <c r="EX284" s="775">
        <f t="shared" si="447"/>
        <v>21.33242319689267</v>
      </c>
      <c r="EY284" s="775">
        <f t="shared" si="475"/>
        <v>10.783076993754815</v>
      </c>
      <c r="EZ284" s="775">
        <f t="shared" si="448"/>
        <v>4.9013986335249156</v>
      </c>
      <c r="FA284" s="775">
        <f t="shared" si="449"/>
        <v>3.771136696647885</v>
      </c>
      <c r="FB284" s="775">
        <f t="shared" si="450"/>
        <v>3.1718440597864785</v>
      </c>
      <c r="FC284" s="775"/>
      <c r="FD284" s="775"/>
      <c r="FE284" s="775"/>
      <c r="FF284" s="775"/>
      <c r="FG284" s="775"/>
      <c r="FH284" s="775"/>
      <c r="FI284" s="775"/>
      <c r="FJ284" s="775"/>
      <c r="FK284" s="775" t="b">
        <f t="shared" si="476"/>
        <v>0</v>
      </c>
      <c r="FL284" s="775">
        <f t="shared" si="451"/>
        <v>4.5836799211962642</v>
      </c>
      <c r="FM284" s="775">
        <v>24</v>
      </c>
      <c r="FN284" s="775">
        <f t="shared" si="477"/>
        <v>38</v>
      </c>
      <c r="FO284" s="673">
        <f t="shared" si="452"/>
        <v>42.583679921196264</v>
      </c>
      <c r="FP284" s="673">
        <f t="shared" si="453"/>
        <v>31.576723317281619</v>
      </c>
      <c r="FQ284" s="775" t="b">
        <f t="shared" si="454"/>
        <v>0</v>
      </c>
      <c r="FR284" s="673"/>
      <c r="FS284" s="775">
        <f t="shared" si="455"/>
        <v>42.583679921196264</v>
      </c>
      <c r="FT284" s="775">
        <f t="shared" si="456"/>
        <v>4.6247189627688638E-2</v>
      </c>
      <c r="FU284" s="775">
        <f t="shared" si="457"/>
        <v>2.2713949423967188E-3</v>
      </c>
      <c r="FV284" s="775">
        <f t="shared" si="458"/>
        <v>9.3644132186170204</v>
      </c>
      <c r="FW284" s="775">
        <f t="shared" si="459"/>
        <v>4.624551397360448</v>
      </c>
      <c r="FX284" s="775">
        <f t="shared" si="460"/>
        <v>68.091942717648436</v>
      </c>
      <c r="FY284" s="775">
        <f t="shared" si="461"/>
        <v>144.64182676820826</v>
      </c>
      <c r="FZ284" s="775">
        <f t="shared" si="462"/>
        <v>33.178082149619392</v>
      </c>
      <c r="GA284" s="775">
        <f t="shared" si="463"/>
        <v>51.136615943495393</v>
      </c>
      <c r="GB284" s="775">
        <f t="shared" si="464"/>
        <v>64.93105423727485</v>
      </c>
      <c r="GC284" s="775">
        <f t="shared" si="465"/>
        <v>9.3811996336494925</v>
      </c>
      <c r="GD284" s="775">
        <f t="shared" si="466"/>
        <v>43.540337257870057</v>
      </c>
      <c r="GE284" s="775">
        <f t="shared" si="467"/>
        <v>19.791062389940933</v>
      </c>
      <c r="GF284" s="775">
        <f t="shared" si="468"/>
        <v>49.793050848778918</v>
      </c>
      <c r="GG284" s="775">
        <f t="shared" si="469"/>
        <v>42.583679921196264</v>
      </c>
    </row>
    <row r="285" spans="70:189">
      <c r="BR285" s="775"/>
      <c r="BS285" s="775"/>
      <c r="BT285" s="775"/>
      <c r="BU285" s="775"/>
      <c r="BV285" s="775"/>
      <c r="BW285" s="775"/>
      <c r="BX285" s="775"/>
      <c r="BY285" s="775" t="b">
        <f t="shared" si="470"/>
        <v>0</v>
      </c>
      <c r="BZ285" s="775">
        <f t="shared" si="397"/>
        <v>8.6806833140418416</v>
      </c>
      <c r="CA285" s="775">
        <v>25</v>
      </c>
      <c r="CB285" s="775">
        <f t="shared" si="478"/>
        <v>12.5</v>
      </c>
      <c r="CC285" s="673">
        <f t="shared" si="398"/>
        <v>3.8193166859581589</v>
      </c>
      <c r="CD285" s="91">
        <f t="shared" si="396"/>
        <v>2</v>
      </c>
      <c r="CE285" s="775" t="b">
        <f t="shared" si="399"/>
        <v>0</v>
      </c>
      <c r="CF285" s="673"/>
      <c r="CG285" s="775">
        <f t="shared" si="400"/>
        <v>3.8193166859581589</v>
      </c>
      <c r="CH285" s="775">
        <f t="shared" si="401"/>
        <v>0.10114757722727523</v>
      </c>
      <c r="CI285" s="775">
        <f t="shared" si="402"/>
        <v>6.7651495810700738E-3</v>
      </c>
      <c r="CJ285" s="775">
        <f t="shared" si="403"/>
        <v>4.7576719264347105</v>
      </c>
      <c r="CK285" s="775">
        <f t="shared" si="404"/>
        <v>2.4749558446962547</v>
      </c>
      <c r="CL285" s="775">
        <f t="shared" si="405"/>
        <v>3.5464278148578785</v>
      </c>
      <c r="CM285" s="775">
        <f t="shared" si="406"/>
        <v>6.9736579961154286</v>
      </c>
      <c r="CN285" s="775">
        <f t="shared" si="407"/>
        <v>2.1640062286902948</v>
      </c>
      <c r="CO285" s="775">
        <f t="shared" si="408"/>
        <v>3.0911024796896727</v>
      </c>
      <c r="CP285" s="775">
        <f t="shared" si="409"/>
        <v>126.43447153409403</v>
      </c>
      <c r="CQ285" s="775">
        <f t="shared" si="410"/>
        <v>20.49585307190905</v>
      </c>
      <c r="CR285" s="775">
        <f t="shared" si="471"/>
        <v>11.223205054622747</v>
      </c>
      <c r="CS285" s="775">
        <f t="shared" si="411"/>
        <v>5.1014568430103395</v>
      </c>
      <c r="CT285" s="775">
        <f t="shared" si="412"/>
        <v>3.8193166859581589</v>
      </c>
      <c r="CU285" s="775">
        <f t="shared" si="413"/>
        <v>3.1939942720567607</v>
      </c>
      <c r="CV285" s="775"/>
      <c r="CW285" s="775"/>
      <c r="CX285" s="775"/>
      <c r="CY285" s="775"/>
      <c r="CZ285" s="775"/>
      <c r="DA285" s="775"/>
      <c r="DB285" s="775"/>
      <c r="DC285" s="775"/>
      <c r="DD285" s="775" t="b">
        <f t="shared" si="472"/>
        <v>0</v>
      </c>
      <c r="DE285" s="775">
        <f t="shared" si="414"/>
        <v>7.2942915173918124</v>
      </c>
      <c r="DF285" s="775">
        <v>25</v>
      </c>
      <c r="DG285" s="775">
        <f t="shared" si="473"/>
        <v>37.5</v>
      </c>
      <c r="DH285" s="673">
        <f t="shared" si="415"/>
        <v>44.794291517391812</v>
      </c>
      <c r="DI285" s="673">
        <f t="shared" si="416"/>
        <v>26</v>
      </c>
      <c r="DJ285" s="775" t="b">
        <f t="shared" si="417"/>
        <v>0</v>
      </c>
      <c r="DK285" s="673"/>
      <c r="DL285" s="775">
        <f t="shared" si="418"/>
        <v>44.794291517391812</v>
      </c>
      <c r="DM285" s="775">
        <f t="shared" si="419"/>
        <v>4.6917852755214783E-2</v>
      </c>
      <c r="DN285" s="775">
        <f t="shared" si="420"/>
        <v>2.3043340430897222E-3</v>
      </c>
      <c r="DO285" s="775">
        <f t="shared" si="421"/>
        <v>9.3566518952071593</v>
      </c>
      <c r="DP285" s="775">
        <f t="shared" si="422"/>
        <v>4.6226936878341327</v>
      </c>
      <c r="DQ285" s="775">
        <f t="shared" si="423"/>
        <v>55.864873023023556</v>
      </c>
      <c r="DR285" s="775">
        <f t="shared" si="424"/>
        <v>118.6689197535526</v>
      </c>
      <c r="DS285" s="775">
        <f t="shared" si="425"/>
        <v>33.106495615270283</v>
      </c>
      <c r="DT285" s="775">
        <f t="shared" si="426"/>
        <v>51.03498583049592</v>
      </c>
      <c r="DU285" s="775">
        <f t="shared" si="427"/>
        <v>65.872665268321555</v>
      </c>
      <c r="DV285" s="775">
        <f t="shared" si="428"/>
        <v>9.5172430286514587</v>
      </c>
      <c r="DW285" s="775">
        <f t="shared" si="429"/>
        <v>24.195480682432251</v>
      </c>
      <c r="DX285" s="775">
        <f t="shared" si="430"/>
        <v>10.997945764741932</v>
      </c>
      <c r="DY285" s="775">
        <f t="shared" si="431"/>
        <v>44.794291517391812</v>
      </c>
      <c r="DZ285" s="775">
        <f t="shared" si="432"/>
        <v>42.534219353835418</v>
      </c>
      <c r="EA285" s="775"/>
      <c r="EB285" s="775"/>
      <c r="EC285" s="775"/>
      <c r="ED285" s="775"/>
      <c r="EE285" s="775"/>
      <c r="EF285" s="775" t="b">
        <f t="shared" si="474"/>
        <v>0</v>
      </c>
      <c r="EG285" s="775">
        <f t="shared" si="433"/>
        <v>8.6806833140418416</v>
      </c>
      <c r="EH285" s="775">
        <v>25</v>
      </c>
      <c r="EI285" s="775">
        <f t="shared" si="479"/>
        <v>12.5</v>
      </c>
      <c r="EJ285" s="673">
        <f t="shared" si="434"/>
        <v>3.8193166859581589</v>
      </c>
      <c r="EK285" s="673">
        <f t="shared" si="435"/>
        <v>2.2510196371999172</v>
      </c>
      <c r="EL285" s="775" t="b">
        <f t="shared" si="436"/>
        <v>0</v>
      </c>
      <c r="EM285" s="673"/>
      <c r="EN285" s="775">
        <f t="shared" si="437"/>
        <v>3.8193166859581589</v>
      </c>
      <c r="EO285" s="775">
        <f t="shared" si="438"/>
        <v>0.10114757722727523</v>
      </c>
      <c r="EP285" s="775">
        <f t="shared" si="439"/>
        <v>6.7651495810700738E-3</v>
      </c>
      <c r="EQ285" s="775">
        <f t="shared" si="440"/>
        <v>4.7576719264347105</v>
      </c>
      <c r="ER285" s="775">
        <f t="shared" si="441"/>
        <v>2.4749558446962547</v>
      </c>
      <c r="ES285" s="775">
        <f t="shared" si="442"/>
        <v>3.5464278148578785</v>
      </c>
      <c r="ET285" s="775">
        <f t="shared" si="443"/>
        <v>6.9736579961154286</v>
      </c>
      <c r="EU285" s="775">
        <f t="shared" si="444"/>
        <v>2.1640062286902948</v>
      </c>
      <c r="EV285" s="775">
        <f t="shared" si="445"/>
        <v>3.0911024796896727</v>
      </c>
      <c r="EW285" s="775">
        <f t="shared" si="446"/>
        <v>126.43447153409403</v>
      </c>
      <c r="EX285" s="775">
        <f t="shared" si="447"/>
        <v>20.49585307190905</v>
      </c>
      <c r="EY285" s="775">
        <f t="shared" si="475"/>
        <v>11.223205054622747</v>
      </c>
      <c r="EZ285" s="775">
        <f t="shared" si="448"/>
        <v>5.1014568430103395</v>
      </c>
      <c r="FA285" s="775">
        <f t="shared" si="449"/>
        <v>3.8193166859581589</v>
      </c>
      <c r="FB285" s="775">
        <f t="shared" si="450"/>
        <v>3.1939942720567607</v>
      </c>
      <c r="FC285" s="775"/>
      <c r="FD285" s="775"/>
      <c r="FE285" s="775"/>
      <c r="FF285" s="775"/>
      <c r="FG285" s="775"/>
      <c r="FH285" s="775"/>
      <c r="FI285" s="775"/>
      <c r="FJ285" s="775"/>
      <c r="FK285" s="775" t="b">
        <f t="shared" si="476"/>
        <v>0</v>
      </c>
      <c r="FL285" s="775">
        <f t="shared" si="451"/>
        <v>5.0342193538354181</v>
      </c>
      <c r="FM285" s="775">
        <v>25</v>
      </c>
      <c r="FN285" s="775">
        <f t="shared" si="477"/>
        <v>37.5</v>
      </c>
      <c r="FO285" s="673">
        <f t="shared" si="452"/>
        <v>42.534219353835418</v>
      </c>
      <c r="FP285" s="673">
        <f t="shared" si="453"/>
        <v>31.576723317281619</v>
      </c>
      <c r="FQ285" s="775" t="b">
        <f t="shared" si="454"/>
        <v>0</v>
      </c>
      <c r="FR285" s="673"/>
      <c r="FS285" s="775">
        <f t="shared" si="455"/>
        <v>42.534219353835418</v>
      </c>
      <c r="FT285" s="775">
        <f t="shared" si="456"/>
        <v>4.6917852755214783E-2</v>
      </c>
      <c r="FU285" s="775">
        <f t="shared" si="457"/>
        <v>2.3043340430897222E-3</v>
      </c>
      <c r="FV285" s="775">
        <f t="shared" si="458"/>
        <v>9.3566518952071593</v>
      </c>
      <c r="FW285" s="775">
        <f t="shared" si="459"/>
        <v>4.6226936878341327</v>
      </c>
      <c r="FX285" s="775">
        <f t="shared" si="460"/>
        <v>67.847293792426342</v>
      </c>
      <c r="FY285" s="775">
        <f t="shared" si="461"/>
        <v>144.12214020840867</v>
      </c>
      <c r="FZ285" s="775">
        <f t="shared" si="462"/>
        <v>33.106495615270283</v>
      </c>
      <c r="GA285" s="775">
        <f t="shared" si="463"/>
        <v>51.03498583049592</v>
      </c>
      <c r="GB285" s="775">
        <f t="shared" si="464"/>
        <v>65.872665268321555</v>
      </c>
      <c r="GC285" s="775">
        <f t="shared" si="465"/>
        <v>9.5172430286514587</v>
      </c>
      <c r="GD285" s="775">
        <f t="shared" si="466"/>
        <v>42.917953729125543</v>
      </c>
      <c r="GE285" s="775">
        <f t="shared" si="467"/>
        <v>19.508160785966155</v>
      </c>
      <c r="GF285" s="775">
        <f t="shared" si="468"/>
        <v>49.701923120284306</v>
      </c>
      <c r="GG285" s="775">
        <f t="shared" si="469"/>
        <v>42.534219353835418</v>
      </c>
    </row>
    <row r="286" spans="70:189">
      <c r="BR286" s="775"/>
      <c r="BS286" s="775"/>
      <c r="BT286" s="775"/>
      <c r="BU286" s="775"/>
      <c r="BV286" s="775"/>
      <c r="BW286" s="775"/>
      <c r="BX286" s="775"/>
      <c r="BY286" s="775" t="b">
        <f t="shared" si="470"/>
        <v>0</v>
      </c>
      <c r="BZ286" s="775">
        <f t="shared" si="397"/>
        <v>9.1339832188574128</v>
      </c>
      <c r="CA286" s="775">
        <v>26</v>
      </c>
      <c r="CB286" s="775">
        <f t="shared" si="478"/>
        <v>13</v>
      </c>
      <c r="CC286" s="673">
        <f t="shared" si="398"/>
        <v>3.8660167811425863</v>
      </c>
      <c r="CD286" s="91">
        <f t="shared" si="396"/>
        <v>2</v>
      </c>
      <c r="CE286" s="775" t="b">
        <f t="shared" si="399"/>
        <v>0</v>
      </c>
      <c r="CF286" s="673"/>
      <c r="CG286" s="775">
        <f t="shared" si="400"/>
        <v>3.8660167811425863</v>
      </c>
      <c r="CH286" s="775">
        <f t="shared" si="401"/>
        <v>9.7333605726930034E-2</v>
      </c>
      <c r="CI286" s="775">
        <f t="shared" si="402"/>
        <v>6.5100560988030978E-3</v>
      </c>
      <c r="CJ286" s="775">
        <f t="shared" si="403"/>
        <v>4.7837394299531404</v>
      </c>
      <c r="CK286" s="775">
        <f t="shared" si="404"/>
        <v>2.4819279246200976</v>
      </c>
      <c r="CL286" s="775">
        <f t="shared" si="405"/>
        <v>3.5806699589127566</v>
      </c>
      <c r="CM286" s="775">
        <f t="shared" si="406"/>
        <v>7.0409913845724015</v>
      </c>
      <c r="CN286" s="775">
        <f t="shared" si="407"/>
        <v>2.1751958163736362</v>
      </c>
      <c r="CO286" s="775">
        <f t="shared" si="408"/>
        <v>3.1065679041944865</v>
      </c>
      <c r="CP286" s="775">
        <f t="shared" si="409"/>
        <v>121.66700715866254</v>
      </c>
      <c r="CQ286" s="775">
        <f t="shared" si="410"/>
        <v>19.723015979470574</v>
      </c>
      <c r="CR286" s="775">
        <f t="shared" si="471"/>
        <v>11.662981059027134</v>
      </c>
      <c r="CS286" s="775">
        <f t="shared" si="411"/>
        <v>5.3013550268305147</v>
      </c>
      <c r="CT286" s="775">
        <f t="shared" si="412"/>
        <v>3.8660167811425863</v>
      </c>
      <c r="CU286" s="775">
        <f t="shared" si="413"/>
        <v>3.2153671287539307</v>
      </c>
      <c r="CV286" s="775"/>
      <c r="CW286" s="775"/>
      <c r="CX286" s="775"/>
      <c r="CY286" s="775"/>
      <c r="CZ286" s="775"/>
      <c r="DA286" s="775"/>
      <c r="DB286" s="775"/>
      <c r="DC286" s="775"/>
      <c r="DD286" s="775" t="b">
        <f t="shared" si="472"/>
        <v>0</v>
      </c>
      <c r="DE286" s="775">
        <f t="shared" si="414"/>
        <v>7.702701806376929</v>
      </c>
      <c r="DF286" s="775">
        <v>26</v>
      </c>
      <c r="DG286" s="775">
        <f t="shared" si="473"/>
        <v>37</v>
      </c>
      <c r="DH286" s="673">
        <f t="shared" si="415"/>
        <v>44.702701806376929</v>
      </c>
      <c r="DI286" s="673">
        <f t="shared" si="416"/>
        <v>26</v>
      </c>
      <c r="DJ286" s="775" t="b">
        <f t="shared" si="417"/>
        <v>0</v>
      </c>
      <c r="DK286" s="673"/>
      <c r="DL286" s="775">
        <f t="shared" si="418"/>
        <v>44.702701806376929</v>
      </c>
      <c r="DM286" s="775">
        <f t="shared" si="419"/>
        <v>4.7607441444378285E-2</v>
      </c>
      <c r="DN286" s="775">
        <f t="shared" si="420"/>
        <v>2.3382026581019993E-3</v>
      </c>
      <c r="DO286" s="775">
        <f t="shared" si="421"/>
        <v>9.3486889695084248</v>
      </c>
      <c r="DP286" s="775">
        <f t="shared" si="422"/>
        <v>4.6207858877693901</v>
      </c>
      <c r="DQ286" s="775">
        <f t="shared" si="423"/>
        <v>55.661465613794803</v>
      </c>
      <c r="DR286" s="775">
        <f t="shared" si="424"/>
        <v>118.23683898048618</v>
      </c>
      <c r="DS286" s="775">
        <f t="shared" si="425"/>
        <v>33.034070746354438</v>
      </c>
      <c r="DT286" s="775">
        <f t="shared" si="426"/>
        <v>50.932165792913636</v>
      </c>
      <c r="DU286" s="775">
        <f t="shared" si="427"/>
        <v>66.840847787907109</v>
      </c>
      <c r="DV286" s="775">
        <f t="shared" si="428"/>
        <v>9.6571254563239144</v>
      </c>
      <c r="DW286" s="775">
        <f t="shared" si="429"/>
        <v>23.845011736795399</v>
      </c>
      <c r="DX286" s="775">
        <f t="shared" si="430"/>
        <v>10.838641698543363</v>
      </c>
      <c r="DY286" s="775">
        <f t="shared" si="431"/>
        <v>44.702701806376929</v>
      </c>
      <c r="DZ286" s="775">
        <f t="shared" si="432"/>
        <v>42.48409289062981</v>
      </c>
      <c r="EA286" s="775"/>
      <c r="EB286" s="775"/>
      <c r="EC286" s="775"/>
      <c r="ED286" s="775"/>
      <c r="EE286" s="775"/>
      <c r="EF286" s="775" t="b">
        <f t="shared" si="474"/>
        <v>0</v>
      </c>
      <c r="EG286" s="775">
        <f t="shared" si="433"/>
        <v>9.1339832188574128</v>
      </c>
      <c r="EH286" s="775">
        <v>26</v>
      </c>
      <c r="EI286" s="775">
        <f t="shared" si="479"/>
        <v>13</v>
      </c>
      <c r="EJ286" s="673">
        <f t="shared" si="434"/>
        <v>3.8660167811425863</v>
      </c>
      <c r="EK286" s="673">
        <f t="shared" si="435"/>
        <v>2.2510196371999172</v>
      </c>
      <c r="EL286" s="775" t="b">
        <f t="shared" si="436"/>
        <v>0</v>
      </c>
      <c r="EM286" s="673"/>
      <c r="EN286" s="775">
        <f t="shared" si="437"/>
        <v>3.8660167811425863</v>
      </c>
      <c r="EO286" s="775">
        <f t="shared" si="438"/>
        <v>9.7333605726930034E-2</v>
      </c>
      <c r="EP286" s="775">
        <f t="shared" si="439"/>
        <v>6.5100560988030978E-3</v>
      </c>
      <c r="EQ286" s="775">
        <f t="shared" si="440"/>
        <v>4.7837394299531404</v>
      </c>
      <c r="ER286" s="775">
        <f t="shared" si="441"/>
        <v>2.4819279246200976</v>
      </c>
      <c r="ES286" s="775">
        <f t="shared" si="442"/>
        <v>3.5806699589127566</v>
      </c>
      <c r="ET286" s="775">
        <f t="shared" si="443"/>
        <v>7.0409913845724015</v>
      </c>
      <c r="EU286" s="775">
        <f t="shared" si="444"/>
        <v>2.1751958163736362</v>
      </c>
      <c r="EV286" s="775">
        <f t="shared" si="445"/>
        <v>3.1065679041944865</v>
      </c>
      <c r="EW286" s="775">
        <f t="shared" si="446"/>
        <v>121.66700715866254</v>
      </c>
      <c r="EX286" s="775">
        <f t="shared" si="447"/>
        <v>19.723015979470574</v>
      </c>
      <c r="EY286" s="775">
        <f t="shared" si="475"/>
        <v>11.662981059027134</v>
      </c>
      <c r="EZ286" s="775">
        <f t="shared" si="448"/>
        <v>5.3013550268305147</v>
      </c>
      <c r="FA286" s="775">
        <f t="shared" si="449"/>
        <v>3.8660167811425863</v>
      </c>
      <c r="FB286" s="775">
        <f t="shared" si="450"/>
        <v>3.2153671287539307</v>
      </c>
      <c r="FC286" s="775"/>
      <c r="FD286" s="775"/>
      <c r="FE286" s="775"/>
      <c r="FF286" s="775"/>
      <c r="FG286" s="775"/>
      <c r="FH286" s="775"/>
      <c r="FI286" s="775"/>
      <c r="FJ286" s="775"/>
      <c r="FK286" s="775" t="b">
        <f t="shared" si="476"/>
        <v>0</v>
      </c>
      <c r="FL286" s="775">
        <f t="shared" si="451"/>
        <v>5.4840928906298103</v>
      </c>
      <c r="FM286" s="775">
        <v>26</v>
      </c>
      <c r="FN286" s="775">
        <f t="shared" si="477"/>
        <v>37</v>
      </c>
      <c r="FO286" s="673">
        <f t="shared" si="452"/>
        <v>42.48409289062981</v>
      </c>
      <c r="FP286" s="673">
        <f t="shared" si="453"/>
        <v>31.576723317281619</v>
      </c>
      <c r="FQ286" s="775" t="b">
        <f t="shared" si="454"/>
        <v>0</v>
      </c>
      <c r="FR286" s="673"/>
      <c r="FS286" s="775">
        <f t="shared" si="455"/>
        <v>42.48409289062981</v>
      </c>
      <c r="FT286" s="775">
        <f t="shared" si="456"/>
        <v>4.7607441444378285E-2</v>
      </c>
      <c r="FU286" s="775">
        <f t="shared" si="457"/>
        <v>2.3382026581019993E-3</v>
      </c>
      <c r="FV286" s="775">
        <f t="shared" si="458"/>
        <v>9.3486889695084248</v>
      </c>
      <c r="FW286" s="775">
        <f t="shared" si="459"/>
        <v>4.6207858877693901</v>
      </c>
      <c r="FX286" s="775">
        <f t="shared" si="460"/>
        <v>67.600257658507047</v>
      </c>
      <c r="FY286" s="775">
        <f t="shared" si="461"/>
        <v>143.59738270756884</v>
      </c>
      <c r="FZ286" s="775">
        <f t="shared" si="462"/>
        <v>33.034070746354438</v>
      </c>
      <c r="GA286" s="775">
        <f t="shared" si="463"/>
        <v>50.932165792913636</v>
      </c>
      <c r="GB286" s="775">
        <f t="shared" si="464"/>
        <v>66.840847787907109</v>
      </c>
      <c r="GC286" s="775">
        <f t="shared" si="465"/>
        <v>9.6571254563239144</v>
      </c>
      <c r="GD286" s="775">
        <f t="shared" si="466"/>
        <v>42.296291767135301</v>
      </c>
      <c r="GE286" s="775">
        <f t="shared" si="467"/>
        <v>19.225587166879681</v>
      </c>
      <c r="GF286" s="775">
        <f t="shared" si="468"/>
        <v>49.609569920364834</v>
      </c>
      <c r="GG286" s="775">
        <f t="shared" si="469"/>
        <v>42.48409289062981</v>
      </c>
    </row>
    <row r="287" spans="70:189">
      <c r="BR287" s="775"/>
      <c r="BS287" s="775"/>
      <c r="BT287" s="775"/>
      <c r="BU287" s="775"/>
      <c r="BV287" s="775"/>
      <c r="BW287" s="775"/>
      <c r="BX287" s="775"/>
      <c r="BY287" s="775" t="b">
        <f t="shared" si="470"/>
        <v>0</v>
      </c>
      <c r="BZ287" s="775">
        <f t="shared" si="397"/>
        <v>9.5886635705606142</v>
      </c>
      <c r="CA287" s="775">
        <v>27</v>
      </c>
      <c r="CB287" s="775">
        <f t="shared" si="478"/>
        <v>13.5</v>
      </c>
      <c r="CC287" s="673">
        <f t="shared" si="398"/>
        <v>3.9113364294393853</v>
      </c>
      <c r="CD287" s="91">
        <f t="shared" si="396"/>
        <v>2</v>
      </c>
      <c r="CE287" s="775" t="b">
        <f t="shared" si="399"/>
        <v>0</v>
      </c>
      <c r="CF287" s="673"/>
      <c r="CG287" s="775">
        <f t="shared" si="400"/>
        <v>3.9113364294393853</v>
      </c>
      <c r="CH287" s="775">
        <f t="shared" si="401"/>
        <v>9.3799431078952528E-2</v>
      </c>
      <c r="CI287" s="775">
        <f t="shared" si="402"/>
        <v>6.2736765354501336E-3</v>
      </c>
      <c r="CJ287" s="775">
        <f t="shared" si="403"/>
        <v>4.8082288182858477</v>
      </c>
      <c r="CK287" s="775">
        <f t="shared" si="404"/>
        <v>2.488441402195217</v>
      </c>
      <c r="CL287" s="775">
        <f t="shared" si="405"/>
        <v>3.6139317338149963</v>
      </c>
      <c r="CM287" s="775">
        <f t="shared" si="406"/>
        <v>7.1063969855380291</v>
      </c>
      <c r="CN287" s="775">
        <f t="shared" si="407"/>
        <v>2.186011215142269</v>
      </c>
      <c r="CO287" s="775">
        <f t="shared" si="408"/>
        <v>3.121517586378197</v>
      </c>
      <c r="CP287" s="775">
        <f t="shared" si="409"/>
        <v>117.24928884869065</v>
      </c>
      <c r="CQ287" s="775">
        <f t="shared" si="410"/>
        <v>19.006875007031347</v>
      </c>
      <c r="CR287" s="775">
        <f t="shared" si="471"/>
        <v>12.102418820051088</v>
      </c>
      <c r="CS287" s="775">
        <f t="shared" si="411"/>
        <v>5.5010994636595854</v>
      </c>
      <c r="CT287" s="775">
        <f t="shared" si="412"/>
        <v>3.9113364294393853</v>
      </c>
      <c r="CU287" s="775">
        <f t="shared" si="413"/>
        <v>3.2360182729029772</v>
      </c>
      <c r="CV287" s="775"/>
      <c r="CW287" s="775"/>
      <c r="CX287" s="775"/>
      <c r="CY287" s="775"/>
      <c r="CZ287" s="775"/>
      <c r="DA287" s="775"/>
      <c r="DB287" s="775"/>
      <c r="DC287" s="775"/>
      <c r="DD287" s="775" t="b">
        <f t="shared" si="472"/>
        <v>0</v>
      </c>
      <c r="DE287" s="775">
        <f t="shared" si="414"/>
        <v>8.1098973065041378</v>
      </c>
      <c r="DF287" s="775">
        <v>27</v>
      </c>
      <c r="DG287" s="775">
        <f t="shared" si="473"/>
        <v>36.5</v>
      </c>
      <c r="DH287" s="673">
        <f t="shared" si="415"/>
        <v>44.609897306504138</v>
      </c>
      <c r="DI287" s="673">
        <f t="shared" si="416"/>
        <v>26</v>
      </c>
      <c r="DJ287" s="775" t="b">
        <f t="shared" si="417"/>
        <v>0</v>
      </c>
      <c r="DK287" s="673"/>
      <c r="DL287" s="775">
        <f t="shared" si="418"/>
        <v>44.609897306504138</v>
      </c>
      <c r="DM287" s="775">
        <f t="shared" si="419"/>
        <v>4.8316756485927558E-2</v>
      </c>
      <c r="DN287" s="775">
        <f t="shared" si="420"/>
        <v>2.3730401176516782E-3</v>
      </c>
      <c r="DO287" s="775">
        <f t="shared" si="421"/>
        <v>9.3405166139250646</v>
      </c>
      <c r="DP287" s="775">
        <f t="shared" si="422"/>
        <v>4.6188259755403775</v>
      </c>
      <c r="DQ287" s="775">
        <f t="shared" si="423"/>
        <v>55.456046461983711</v>
      </c>
      <c r="DR287" s="775">
        <f t="shared" si="424"/>
        <v>117.80048483658494</v>
      </c>
      <c r="DS287" s="775">
        <f t="shared" si="425"/>
        <v>32.960786212828467</v>
      </c>
      <c r="DT287" s="775">
        <f t="shared" si="426"/>
        <v>50.828125514848914</v>
      </c>
      <c r="DU287" s="775">
        <f t="shared" si="427"/>
        <v>67.836726106242295</v>
      </c>
      <c r="DV287" s="775">
        <f t="shared" si="428"/>
        <v>9.801009356329379</v>
      </c>
      <c r="DW287" s="775">
        <f t="shared" si="429"/>
        <v>23.494954598838426</v>
      </c>
      <c r="DX287" s="775">
        <f t="shared" si="430"/>
        <v>10.67952481765383</v>
      </c>
      <c r="DY287" s="775">
        <f t="shared" si="431"/>
        <v>44.609897306504138</v>
      </c>
      <c r="DZ287" s="775">
        <f t="shared" si="432"/>
        <v>42.433282449557616</v>
      </c>
      <c r="EA287" s="775"/>
      <c r="EB287" s="775"/>
      <c r="EC287" s="775"/>
      <c r="ED287" s="775"/>
      <c r="EE287" s="775"/>
      <c r="EF287" s="775" t="b">
        <f t="shared" si="474"/>
        <v>0</v>
      </c>
      <c r="EG287" s="775">
        <f t="shared" si="433"/>
        <v>9.5886635705606142</v>
      </c>
      <c r="EH287" s="775">
        <v>27</v>
      </c>
      <c r="EI287" s="775">
        <f t="shared" si="479"/>
        <v>13.5</v>
      </c>
      <c r="EJ287" s="673">
        <f t="shared" si="434"/>
        <v>3.9113364294393853</v>
      </c>
      <c r="EK287" s="673">
        <f t="shared" si="435"/>
        <v>2.2510196371999172</v>
      </c>
      <c r="EL287" s="775" t="b">
        <f t="shared" si="436"/>
        <v>0</v>
      </c>
      <c r="EM287" s="673"/>
      <c r="EN287" s="775">
        <f t="shared" si="437"/>
        <v>3.9113364294393853</v>
      </c>
      <c r="EO287" s="775">
        <f t="shared" si="438"/>
        <v>9.3799431078952528E-2</v>
      </c>
      <c r="EP287" s="775">
        <f t="shared" si="439"/>
        <v>6.2736765354501336E-3</v>
      </c>
      <c r="EQ287" s="775">
        <f t="shared" si="440"/>
        <v>4.8082288182858477</v>
      </c>
      <c r="ER287" s="775">
        <f t="shared" si="441"/>
        <v>2.488441402195217</v>
      </c>
      <c r="ES287" s="775">
        <f t="shared" si="442"/>
        <v>3.6139317338149963</v>
      </c>
      <c r="ET287" s="775">
        <f t="shared" si="443"/>
        <v>7.1063969855380291</v>
      </c>
      <c r="EU287" s="775">
        <f t="shared" si="444"/>
        <v>2.186011215142269</v>
      </c>
      <c r="EV287" s="775">
        <f t="shared" si="445"/>
        <v>3.121517586378197</v>
      </c>
      <c r="EW287" s="775">
        <f t="shared" si="446"/>
        <v>117.24928884869065</v>
      </c>
      <c r="EX287" s="775">
        <f t="shared" si="447"/>
        <v>19.006875007031347</v>
      </c>
      <c r="EY287" s="775">
        <f t="shared" si="475"/>
        <v>12.102418820051088</v>
      </c>
      <c r="EZ287" s="775">
        <f t="shared" si="448"/>
        <v>5.5010994636595854</v>
      </c>
      <c r="FA287" s="775">
        <f t="shared" si="449"/>
        <v>3.9113364294393853</v>
      </c>
      <c r="FB287" s="775">
        <f t="shared" si="450"/>
        <v>3.2360182729029772</v>
      </c>
      <c r="FC287" s="775"/>
      <c r="FD287" s="775"/>
      <c r="FE287" s="775"/>
      <c r="FF287" s="775"/>
      <c r="FG287" s="775"/>
      <c r="FH287" s="775"/>
      <c r="FI287" s="775"/>
      <c r="FJ287" s="775"/>
      <c r="FK287" s="775" t="b">
        <f t="shared" si="476"/>
        <v>0</v>
      </c>
      <c r="FL287" s="775">
        <f t="shared" si="451"/>
        <v>5.9332824495576162</v>
      </c>
      <c r="FM287" s="775">
        <v>27</v>
      </c>
      <c r="FN287" s="775">
        <f t="shared" si="477"/>
        <v>36.5</v>
      </c>
      <c r="FO287" s="673">
        <f t="shared" si="452"/>
        <v>42.433282449557616</v>
      </c>
      <c r="FP287" s="673">
        <f t="shared" si="453"/>
        <v>31.576723317281619</v>
      </c>
      <c r="FQ287" s="775" t="b">
        <f t="shared" si="454"/>
        <v>0</v>
      </c>
      <c r="FR287" s="673"/>
      <c r="FS287" s="775">
        <f t="shared" si="455"/>
        <v>42.433282449557616</v>
      </c>
      <c r="FT287" s="775">
        <f t="shared" si="456"/>
        <v>4.8316756485927558E-2</v>
      </c>
      <c r="FU287" s="775">
        <f t="shared" si="457"/>
        <v>2.3730401176516782E-3</v>
      </c>
      <c r="FV287" s="775">
        <f t="shared" si="458"/>
        <v>9.3405166139250646</v>
      </c>
      <c r="FW287" s="775">
        <f t="shared" si="459"/>
        <v>4.6188259755403775</v>
      </c>
      <c r="FX287" s="775">
        <f t="shared" si="460"/>
        <v>67.350778284629769</v>
      </c>
      <c r="FY287" s="775">
        <f t="shared" si="461"/>
        <v>143.06743524332583</v>
      </c>
      <c r="FZ287" s="775">
        <f t="shared" si="462"/>
        <v>32.960786212828467</v>
      </c>
      <c r="GA287" s="775">
        <f t="shared" si="463"/>
        <v>50.828125514848914</v>
      </c>
      <c r="GB287" s="775">
        <f t="shared" si="464"/>
        <v>67.836726106242295</v>
      </c>
      <c r="GC287" s="775">
        <f t="shared" si="465"/>
        <v>9.801009356329379</v>
      </c>
      <c r="GD287" s="775">
        <f t="shared" si="466"/>
        <v>41.675360269779439</v>
      </c>
      <c r="GE287" s="775">
        <f t="shared" si="467"/>
        <v>18.943345577172472</v>
      </c>
      <c r="GF287" s="775">
        <f t="shared" si="468"/>
        <v>49.515958497618954</v>
      </c>
      <c r="GG287" s="775">
        <f t="shared" si="469"/>
        <v>42.433282449557616</v>
      </c>
    </row>
    <row r="288" spans="70:189">
      <c r="BR288" s="775"/>
      <c r="BS288" s="775"/>
      <c r="BT288" s="775"/>
      <c r="BU288" s="775"/>
      <c r="BV288" s="775"/>
      <c r="BW288" s="775"/>
      <c r="BX288" s="775"/>
      <c r="BY288" s="775" t="b">
        <f t="shared" si="470"/>
        <v>0</v>
      </c>
      <c r="BZ288" s="775">
        <f t="shared" si="397"/>
        <v>10.044634986773762</v>
      </c>
      <c r="CA288" s="775">
        <v>28</v>
      </c>
      <c r="CB288" s="775">
        <f t="shared" si="478"/>
        <v>14</v>
      </c>
      <c r="CC288" s="673">
        <f t="shared" si="398"/>
        <v>3.9553650132262379</v>
      </c>
      <c r="CD288" s="91">
        <f t="shared" si="396"/>
        <v>2</v>
      </c>
      <c r="CE288" s="775" t="b">
        <f t="shared" si="399"/>
        <v>0</v>
      </c>
      <c r="CF288" s="673"/>
      <c r="CG288" s="775">
        <f t="shared" si="400"/>
        <v>3.9553650132262379</v>
      </c>
      <c r="CH288" s="775">
        <f t="shared" si="401"/>
        <v>9.0515263998429921E-2</v>
      </c>
      <c r="CI288" s="775">
        <f t="shared" si="402"/>
        <v>6.0540184659440416E-3</v>
      </c>
      <c r="CJ288" s="775">
        <f t="shared" si="403"/>
        <v>4.8312802761480542</v>
      </c>
      <c r="CK288" s="775">
        <f t="shared" si="404"/>
        <v>2.494540312525221</v>
      </c>
      <c r="CL288" s="775">
        <f t="shared" si="405"/>
        <v>3.6462760096807698</v>
      </c>
      <c r="CM288" s="775">
        <f t="shared" si="406"/>
        <v>7.1699984261411425</v>
      </c>
      <c r="CN288" s="775">
        <f t="shared" si="407"/>
        <v>2.1964781383419827</v>
      </c>
      <c r="CO288" s="775">
        <f t="shared" si="408"/>
        <v>3.1359869180218745</v>
      </c>
      <c r="CP288" s="775">
        <f t="shared" si="409"/>
        <v>113.1440799980374</v>
      </c>
      <c r="CQ288" s="775">
        <f t="shared" si="410"/>
        <v>18.341393857693046</v>
      </c>
      <c r="CR288" s="775">
        <f t="shared" si="471"/>
        <v>12.541531117002444</v>
      </c>
      <c r="CS288" s="775">
        <f t="shared" si="411"/>
        <v>5.700695962273838</v>
      </c>
      <c r="CT288" s="775">
        <f t="shared" si="412"/>
        <v>3.9553650132262379</v>
      </c>
      <c r="CU288" s="775">
        <f t="shared" si="413"/>
        <v>3.2559974811318853</v>
      </c>
      <c r="CV288" s="775"/>
      <c r="CW288" s="775"/>
      <c r="CX288" s="775"/>
      <c r="CY288" s="775"/>
      <c r="CZ288" s="775"/>
      <c r="DA288" s="775"/>
      <c r="DB288" s="775"/>
      <c r="DC288" s="775"/>
      <c r="DD288" s="775" t="b">
        <f t="shared" si="472"/>
        <v>0</v>
      </c>
      <c r="DE288" s="775">
        <f t="shared" si="414"/>
        <v>8.5158455712608472</v>
      </c>
      <c r="DF288" s="775">
        <v>28</v>
      </c>
      <c r="DG288" s="775">
        <f t="shared" si="473"/>
        <v>36</v>
      </c>
      <c r="DH288" s="673">
        <f t="shared" si="415"/>
        <v>44.515845571260847</v>
      </c>
      <c r="DI288" s="673">
        <f t="shared" si="416"/>
        <v>26</v>
      </c>
      <c r="DJ288" s="775" t="b">
        <f t="shared" si="417"/>
        <v>0</v>
      </c>
      <c r="DK288" s="673"/>
      <c r="DL288" s="775">
        <f t="shared" si="418"/>
        <v>44.515845571260847</v>
      </c>
      <c r="DM288" s="775">
        <f t="shared" si="419"/>
        <v>4.9046644153772516E-2</v>
      </c>
      <c r="DN288" s="775">
        <f t="shared" si="420"/>
        <v>2.4088879858271792E-3</v>
      </c>
      <c r="DO288" s="775">
        <f t="shared" si="421"/>
        <v>9.3321265939739106</v>
      </c>
      <c r="DP288" s="775">
        <f t="shared" si="422"/>
        <v>4.6168118201609429</v>
      </c>
      <c r="DQ288" s="775">
        <f t="shared" si="423"/>
        <v>55.248567698924191</v>
      </c>
      <c r="DR288" s="775">
        <f t="shared" si="424"/>
        <v>117.35975563858014</v>
      </c>
      <c r="DS288" s="775">
        <f t="shared" si="425"/>
        <v>32.886619840966489</v>
      </c>
      <c r="DT288" s="775">
        <f t="shared" si="426"/>
        <v>50.722833479434328</v>
      </c>
      <c r="DU288" s="775">
        <f t="shared" si="427"/>
        <v>68.861488391896614</v>
      </c>
      <c r="DV288" s="775">
        <f t="shared" si="428"/>
        <v>9.949066394547609</v>
      </c>
      <c r="DW288" s="775">
        <f t="shared" si="429"/>
        <v>23.145314416229716</v>
      </c>
      <c r="DX288" s="775">
        <f t="shared" si="430"/>
        <v>10.520597461922598</v>
      </c>
      <c r="DY288" s="775">
        <f t="shared" si="431"/>
        <v>44.515845571260847</v>
      </c>
      <c r="DZ288" s="775">
        <f t="shared" si="432"/>
        <v>42.381769202349794</v>
      </c>
      <c r="EA288" s="775"/>
      <c r="EB288" s="775"/>
      <c r="EC288" s="775"/>
      <c r="ED288" s="775"/>
      <c r="EE288" s="775"/>
      <c r="EF288" s="775" t="b">
        <f t="shared" si="474"/>
        <v>0</v>
      </c>
      <c r="EG288" s="775">
        <f t="shared" si="433"/>
        <v>10.044634986773762</v>
      </c>
      <c r="EH288" s="775">
        <v>28</v>
      </c>
      <c r="EI288" s="775">
        <f t="shared" si="479"/>
        <v>14</v>
      </c>
      <c r="EJ288" s="673">
        <f t="shared" si="434"/>
        <v>3.9553650132262379</v>
      </c>
      <c r="EK288" s="673">
        <f t="shared" si="435"/>
        <v>2.2510196371999172</v>
      </c>
      <c r="EL288" s="775" t="b">
        <f t="shared" si="436"/>
        <v>0</v>
      </c>
      <c r="EM288" s="673"/>
      <c r="EN288" s="775">
        <f t="shared" si="437"/>
        <v>3.9553650132262379</v>
      </c>
      <c r="EO288" s="775">
        <f t="shared" si="438"/>
        <v>9.0515263998429921E-2</v>
      </c>
      <c r="EP288" s="775">
        <f t="shared" si="439"/>
        <v>6.0540184659440416E-3</v>
      </c>
      <c r="EQ288" s="775">
        <f t="shared" si="440"/>
        <v>4.8312802761480542</v>
      </c>
      <c r="ER288" s="775">
        <f t="shared" si="441"/>
        <v>2.494540312525221</v>
      </c>
      <c r="ES288" s="775">
        <f t="shared" si="442"/>
        <v>3.6462760096807698</v>
      </c>
      <c r="ET288" s="775">
        <f t="shared" si="443"/>
        <v>7.1699984261411425</v>
      </c>
      <c r="EU288" s="775">
        <f t="shared" si="444"/>
        <v>2.1964781383419827</v>
      </c>
      <c r="EV288" s="775">
        <f t="shared" si="445"/>
        <v>3.1359869180218745</v>
      </c>
      <c r="EW288" s="775">
        <f t="shared" si="446"/>
        <v>113.1440799980374</v>
      </c>
      <c r="EX288" s="775">
        <f t="shared" si="447"/>
        <v>18.341393857693046</v>
      </c>
      <c r="EY288" s="775">
        <f t="shared" si="475"/>
        <v>12.541531117002444</v>
      </c>
      <c r="EZ288" s="775">
        <f t="shared" si="448"/>
        <v>5.700695962273838</v>
      </c>
      <c r="FA288" s="775">
        <f t="shared" si="449"/>
        <v>3.9553650132262379</v>
      </c>
      <c r="FB288" s="775">
        <f t="shared" si="450"/>
        <v>3.2559974811318853</v>
      </c>
      <c r="FC288" s="775"/>
      <c r="FD288" s="775"/>
      <c r="FE288" s="775"/>
      <c r="FF288" s="775"/>
      <c r="FG288" s="775"/>
      <c r="FH288" s="775"/>
      <c r="FI288" s="775"/>
      <c r="FJ288" s="775"/>
      <c r="FK288" s="775" t="b">
        <f t="shared" si="476"/>
        <v>0</v>
      </c>
      <c r="FL288" s="775">
        <f t="shared" si="451"/>
        <v>6.3817692023497941</v>
      </c>
      <c r="FM288" s="775">
        <v>28</v>
      </c>
      <c r="FN288" s="775">
        <f t="shared" si="477"/>
        <v>36</v>
      </c>
      <c r="FO288" s="673">
        <f t="shared" si="452"/>
        <v>42.381769202349794</v>
      </c>
      <c r="FP288" s="673">
        <f t="shared" si="453"/>
        <v>31.576723317281619</v>
      </c>
      <c r="FQ288" s="775" t="b">
        <f t="shared" si="454"/>
        <v>0</v>
      </c>
      <c r="FR288" s="673"/>
      <c r="FS288" s="775">
        <f t="shared" si="455"/>
        <v>42.381769202349794</v>
      </c>
      <c r="FT288" s="775">
        <f t="shared" si="456"/>
        <v>4.9046644153772516E-2</v>
      </c>
      <c r="FU288" s="775">
        <f t="shared" si="457"/>
        <v>2.4088879858271792E-3</v>
      </c>
      <c r="FV288" s="775">
        <f t="shared" si="458"/>
        <v>9.3321265939739106</v>
      </c>
      <c r="FW288" s="775">
        <f t="shared" si="459"/>
        <v>4.6168118201609429</v>
      </c>
      <c r="FX288" s="775">
        <f t="shared" si="460"/>
        <v>67.098797534808909</v>
      </c>
      <c r="FY288" s="775">
        <f t="shared" si="461"/>
        <v>142.53217432243179</v>
      </c>
      <c r="FZ288" s="775">
        <f t="shared" si="462"/>
        <v>32.886619840966489</v>
      </c>
      <c r="GA288" s="775">
        <f t="shared" si="463"/>
        <v>50.722833479434328</v>
      </c>
      <c r="GB288" s="775">
        <f t="shared" si="464"/>
        <v>68.861488391896614</v>
      </c>
      <c r="GC288" s="775">
        <f t="shared" si="465"/>
        <v>9.949066394547609</v>
      </c>
      <c r="GD288" s="775">
        <f t="shared" si="466"/>
        <v>41.055168367994284</v>
      </c>
      <c r="GE288" s="775">
        <f t="shared" si="467"/>
        <v>18.661440167270129</v>
      </c>
      <c r="GF288" s="775">
        <f t="shared" si="468"/>
        <v>49.421054770709816</v>
      </c>
      <c r="GG288" s="775">
        <f t="shared" si="469"/>
        <v>42.381769202349794</v>
      </c>
    </row>
    <row r="289" spans="70:189">
      <c r="BR289" s="775"/>
      <c r="BS289" s="775"/>
      <c r="BT289" s="775"/>
      <c r="BU289" s="775"/>
      <c r="BV289" s="775"/>
      <c r="BW289" s="775"/>
      <c r="BX289" s="775"/>
      <c r="BY289" s="775" t="b">
        <f t="shared" si="470"/>
        <v>0</v>
      </c>
      <c r="BZ289" s="775">
        <f t="shared" si="397"/>
        <v>10.5018168127168</v>
      </c>
      <c r="CA289" s="775">
        <v>29</v>
      </c>
      <c r="CB289" s="775">
        <f t="shared" si="478"/>
        <v>14.5</v>
      </c>
      <c r="CC289" s="673">
        <f t="shared" si="398"/>
        <v>3.9981831872832005</v>
      </c>
      <c r="CD289" s="91">
        <f t="shared" si="396"/>
        <v>2</v>
      </c>
      <c r="CE289" s="775" t="b">
        <f t="shared" si="399"/>
        <v>0</v>
      </c>
      <c r="CF289" s="673"/>
      <c r="CG289" s="775">
        <f t="shared" si="400"/>
        <v>3.9981831872832005</v>
      </c>
      <c r="CH289" s="775">
        <f t="shared" si="401"/>
        <v>8.7455404976697362E-2</v>
      </c>
      <c r="CI289" s="775">
        <f t="shared" si="402"/>
        <v>5.8493630056111225E-3</v>
      </c>
      <c r="CJ289" s="775">
        <f t="shared" si="403"/>
        <v>4.8530177678065138</v>
      </c>
      <c r="CK289" s="775">
        <f t="shared" si="404"/>
        <v>2.5002632095348067</v>
      </c>
      <c r="CL289" s="775">
        <f t="shared" si="405"/>
        <v>3.6777595498366664</v>
      </c>
      <c r="CM289" s="775">
        <f t="shared" si="406"/>
        <v>7.2319073251843875</v>
      </c>
      <c r="CN289" s="775">
        <f t="shared" si="407"/>
        <v>2.2066196894233276</v>
      </c>
      <c r="CO289" s="775">
        <f t="shared" si="408"/>
        <v>3.1500077018511607</v>
      </c>
      <c r="CP289" s="775">
        <f t="shared" si="409"/>
        <v>109.31925622087171</v>
      </c>
      <c r="CQ289" s="775">
        <f t="shared" si="410"/>
        <v>17.721364958836983</v>
      </c>
      <c r="CR289" s="775">
        <f t="shared" si="471"/>
        <v>12.980329806973918</v>
      </c>
      <c r="CS289" s="775">
        <f t="shared" si="411"/>
        <v>5.9001499122608712</v>
      </c>
      <c r="CT289" s="775">
        <f t="shared" si="412"/>
        <v>3.9981831872832005</v>
      </c>
      <c r="CU289" s="775">
        <f t="shared" si="413"/>
        <v>3.2753494668229228</v>
      </c>
      <c r="CV289" s="775"/>
      <c r="CW289" s="775"/>
      <c r="CX289" s="775"/>
      <c r="CY289" s="775"/>
      <c r="CZ289" s="775"/>
      <c r="DA289" s="775"/>
      <c r="DB289" s="775"/>
      <c r="DC289" s="775"/>
      <c r="DD289" s="775" t="b">
        <f t="shared" si="472"/>
        <v>0</v>
      </c>
      <c r="DE289" s="775">
        <f t="shared" si="414"/>
        <v>8.9205128307136476</v>
      </c>
      <c r="DF289" s="775">
        <v>29</v>
      </c>
      <c r="DG289" s="775">
        <f t="shared" si="473"/>
        <v>35.5</v>
      </c>
      <c r="DH289" s="673">
        <f t="shared" si="415"/>
        <v>44.420512830713648</v>
      </c>
      <c r="DI289" s="673">
        <f t="shared" si="416"/>
        <v>26</v>
      </c>
      <c r="DJ289" s="775" t="b">
        <f t="shared" si="417"/>
        <v>0</v>
      </c>
      <c r="DK289" s="673"/>
      <c r="DL289" s="775">
        <f t="shared" si="418"/>
        <v>44.420512830713648</v>
      </c>
      <c r="DM289" s="775">
        <f t="shared" si="419"/>
        <v>4.97979994657273E-2</v>
      </c>
      <c r="DN289" s="775">
        <f t="shared" si="420"/>
        <v>2.4457902207360703E-3</v>
      </c>
      <c r="DO289" s="775">
        <f t="shared" si="421"/>
        <v>9.3235102416506059</v>
      </c>
      <c r="DP289" s="775">
        <f t="shared" si="422"/>
        <v>4.6147411738274684</v>
      </c>
      <c r="DQ289" s="775">
        <f t="shared" si="423"/>
        <v>55.038979632735725</v>
      </c>
      <c r="DR289" s="775">
        <f t="shared" si="424"/>
        <v>116.91454583030634</v>
      </c>
      <c r="DS289" s="775">
        <f t="shared" si="425"/>
        <v>32.811548567749611</v>
      </c>
      <c r="DT289" s="775">
        <f t="shared" si="426"/>
        <v>50.616256903807482</v>
      </c>
      <c r="DU289" s="775">
        <f t="shared" si="427"/>
        <v>69.91639124988113</v>
      </c>
      <c r="DV289" s="775">
        <f t="shared" si="428"/>
        <v>10.101478124514239</v>
      </c>
      <c r="DW289" s="775">
        <f t="shared" si="429"/>
        <v>22.796096473338931</v>
      </c>
      <c r="DX289" s="775">
        <f t="shared" si="430"/>
        <v>10.361862033335877</v>
      </c>
      <c r="DY289" s="775">
        <f t="shared" si="431"/>
        <v>44.420512830713648</v>
      </c>
      <c r="DZ289" s="775">
        <f t="shared" si="432"/>
        <v>42.329533532851833</v>
      </c>
      <c r="EA289" s="775"/>
      <c r="EB289" s="775"/>
      <c r="EC289" s="775"/>
      <c r="ED289" s="775"/>
      <c r="EE289" s="775"/>
      <c r="EF289" s="775" t="b">
        <f t="shared" si="474"/>
        <v>0</v>
      </c>
      <c r="EG289" s="775">
        <f t="shared" si="433"/>
        <v>10.5018168127168</v>
      </c>
      <c r="EH289" s="775">
        <v>29</v>
      </c>
      <c r="EI289" s="775">
        <f t="shared" si="479"/>
        <v>14.5</v>
      </c>
      <c r="EJ289" s="673">
        <f t="shared" si="434"/>
        <v>3.9981831872832005</v>
      </c>
      <c r="EK289" s="673">
        <f t="shared" si="435"/>
        <v>2.2510196371999172</v>
      </c>
      <c r="EL289" s="775" t="b">
        <f t="shared" si="436"/>
        <v>0</v>
      </c>
      <c r="EM289" s="673"/>
      <c r="EN289" s="775">
        <f t="shared" si="437"/>
        <v>3.9981831872832005</v>
      </c>
      <c r="EO289" s="775">
        <f t="shared" si="438"/>
        <v>8.7455404976697362E-2</v>
      </c>
      <c r="EP289" s="775">
        <f t="shared" si="439"/>
        <v>5.8493630056111225E-3</v>
      </c>
      <c r="EQ289" s="775">
        <f t="shared" si="440"/>
        <v>4.8530177678065138</v>
      </c>
      <c r="ER289" s="775">
        <f t="shared" si="441"/>
        <v>2.5002632095348067</v>
      </c>
      <c r="ES289" s="775">
        <f t="shared" si="442"/>
        <v>3.6777595498366664</v>
      </c>
      <c r="ET289" s="775">
        <f t="shared" si="443"/>
        <v>7.2319073251843875</v>
      </c>
      <c r="EU289" s="775">
        <f t="shared" si="444"/>
        <v>2.2066196894233276</v>
      </c>
      <c r="EV289" s="775">
        <f t="shared" si="445"/>
        <v>3.1500077018511607</v>
      </c>
      <c r="EW289" s="775">
        <f t="shared" si="446"/>
        <v>109.31925622087171</v>
      </c>
      <c r="EX289" s="775">
        <f t="shared" si="447"/>
        <v>17.721364958836983</v>
      </c>
      <c r="EY289" s="775">
        <f t="shared" si="475"/>
        <v>12.980329806973918</v>
      </c>
      <c r="EZ289" s="775">
        <f t="shared" si="448"/>
        <v>5.9001499122608712</v>
      </c>
      <c r="FA289" s="775">
        <f t="shared" si="449"/>
        <v>3.9981831872832005</v>
      </c>
      <c r="FB289" s="775">
        <f t="shared" si="450"/>
        <v>3.2753494668229228</v>
      </c>
      <c r="FC289" s="775"/>
      <c r="FD289" s="775"/>
      <c r="FE289" s="775"/>
      <c r="FF289" s="775"/>
      <c r="FG289" s="775"/>
      <c r="FH289" s="775"/>
      <c r="FI289" s="775"/>
      <c r="FJ289" s="775"/>
      <c r="FK289" s="775" t="b">
        <f t="shared" si="476"/>
        <v>0</v>
      </c>
      <c r="FL289" s="775">
        <f t="shared" si="451"/>
        <v>6.8295335328518334</v>
      </c>
      <c r="FM289" s="775">
        <v>29</v>
      </c>
      <c r="FN289" s="775">
        <f t="shared" si="477"/>
        <v>35.5</v>
      </c>
      <c r="FO289" s="673">
        <f t="shared" si="452"/>
        <v>42.329533532851833</v>
      </c>
      <c r="FP289" s="673">
        <f t="shared" si="453"/>
        <v>31.576723317281619</v>
      </c>
      <c r="FQ289" s="775" t="b">
        <f t="shared" si="454"/>
        <v>0</v>
      </c>
      <c r="FR289" s="673"/>
      <c r="FS289" s="775">
        <f t="shared" si="455"/>
        <v>42.329533532851833</v>
      </c>
      <c r="FT289" s="775">
        <f t="shared" si="456"/>
        <v>4.97979994657273E-2</v>
      </c>
      <c r="FU289" s="775">
        <f t="shared" si="457"/>
        <v>2.4457902207360703E-3</v>
      </c>
      <c r="FV289" s="775">
        <f t="shared" si="458"/>
        <v>9.3235102416506059</v>
      </c>
      <c r="FW289" s="775">
        <f t="shared" si="459"/>
        <v>4.6147411738274684</v>
      </c>
      <c r="FX289" s="775">
        <f t="shared" si="460"/>
        <v>66.844255058784398</v>
      </c>
      <c r="FY289" s="775">
        <f t="shared" si="461"/>
        <v>141.9914717480471</v>
      </c>
      <c r="FZ289" s="775">
        <f t="shared" si="462"/>
        <v>32.811548567749611</v>
      </c>
      <c r="GA289" s="775">
        <f t="shared" si="463"/>
        <v>50.616256903807482</v>
      </c>
      <c r="GB289" s="775">
        <f t="shared" si="464"/>
        <v>69.91639124988113</v>
      </c>
      <c r="GC289" s="775">
        <f t="shared" si="465"/>
        <v>10.101478124514239</v>
      </c>
      <c r="GD289" s="775">
        <f t="shared" si="466"/>
        <v>40.43572543519695</v>
      </c>
      <c r="GE289" s="775">
        <f t="shared" si="467"/>
        <v>18.379875197816794</v>
      </c>
      <c r="GF289" s="775">
        <f t="shared" si="468"/>
        <v>49.324823255261713</v>
      </c>
      <c r="GG289" s="775">
        <f t="shared" si="469"/>
        <v>42.329533532851833</v>
      </c>
    </row>
    <row r="290" spans="70:189">
      <c r="BR290" s="775"/>
      <c r="BS290" s="775"/>
      <c r="BT290" s="775"/>
      <c r="BU290" s="775"/>
      <c r="BV290" s="775"/>
      <c r="BW290" s="775"/>
      <c r="BX290" s="775"/>
      <c r="BY290" s="775" t="b">
        <f t="shared" si="470"/>
        <v>0</v>
      </c>
      <c r="BZ290" s="775">
        <f t="shared" si="397"/>
        <v>10.960136001097728</v>
      </c>
      <c r="CA290" s="775">
        <v>30</v>
      </c>
      <c r="CB290" s="775">
        <f t="shared" si="478"/>
        <v>15</v>
      </c>
      <c r="CC290" s="673">
        <f t="shared" si="398"/>
        <v>4.0398639989022715</v>
      </c>
      <c r="CD290" s="91">
        <f t="shared" si="396"/>
        <v>2</v>
      </c>
      <c r="CE290" s="775" t="b">
        <f t="shared" si="399"/>
        <v>0</v>
      </c>
      <c r="CF290" s="673"/>
      <c r="CG290" s="775">
        <f t="shared" si="400"/>
        <v>4.0398639989022715</v>
      </c>
      <c r="CH290" s="775">
        <f t="shared" si="401"/>
        <v>8.4597565143875286E-2</v>
      </c>
      <c r="CI290" s="775">
        <f t="shared" si="402"/>
        <v>5.6582193867744657E-3</v>
      </c>
      <c r="CJ290" s="775">
        <f t="shared" si="403"/>
        <v>4.8735513285242043</v>
      </c>
      <c r="CK290" s="775">
        <f t="shared" si="404"/>
        <v>2.5056439951773526</v>
      </c>
      <c r="CL290" s="775">
        <f t="shared" si="405"/>
        <v>3.7084337918609251</v>
      </c>
      <c r="CM290" s="775">
        <f t="shared" si="406"/>
        <v>7.2922248289754013</v>
      </c>
      <c r="CN290" s="775">
        <f t="shared" si="407"/>
        <v>2.2164567065880454</v>
      </c>
      <c r="CO290" s="775">
        <f t="shared" si="408"/>
        <v>3.1636086251789455</v>
      </c>
      <c r="CP290" s="775">
        <f t="shared" si="409"/>
        <v>105.7469564298441</v>
      </c>
      <c r="CQ290" s="775">
        <f t="shared" si="410"/>
        <v>17.142271846354841</v>
      </c>
      <c r="CR290" s="775">
        <f t="shared" si="471"/>
        <v>13.418825920927659</v>
      </c>
      <c r="CS290" s="775">
        <f t="shared" si="411"/>
        <v>6.0994663276943903</v>
      </c>
      <c r="CT290" s="775">
        <f t="shared" si="412"/>
        <v>4.0398639989022715</v>
      </c>
      <c r="CU290" s="775">
        <f t="shared" si="413"/>
        <v>3.294114549737936</v>
      </c>
      <c r="CV290" s="775"/>
      <c r="CW290" s="775"/>
      <c r="CX290" s="775"/>
      <c r="CY290" s="775"/>
      <c r="CZ290" s="775"/>
      <c r="DA290" s="775"/>
      <c r="DB290" s="775"/>
      <c r="DC290" s="775"/>
      <c r="DD290" s="775" t="b">
        <f t="shared" si="472"/>
        <v>0</v>
      </c>
      <c r="DE290" s="775">
        <f t="shared" si="414"/>
        <v>9.3238639182443208</v>
      </c>
      <c r="DF290" s="775">
        <v>30</v>
      </c>
      <c r="DG290" s="775">
        <f t="shared" si="473"/>
        <v>35</v>
      </c>
      <c r="DH290" s="673">
        <f t="shared" si="415"/>
        <v>44.323863918244321</v>
      </c>
      <c r="DI290" s="673">
        <f t="shared" si="416"/>
        <v>26</v>
      </c>
      <c r="DJ290" s="775" t="b">
        <f t="shared" si="417"/>
        <v>0</v>
      </c>
      <c r="DK290" s="673"/>
      <c r="DL290" s="775">
        <f t="shared" si="418"/>
        <v>44.323863918244321</v>
      </c>
      <c r="DM290" s="775">
        <f t="shared" si="419"/>
        <v>5.0571769727971165E-2</v>
      </c>
      <c r="DN290" s="775">
        <f t="shared" si="420"/>
        <v>2.4837933485885237E-3</v>
      </c>
      <c r="DO290" s="775">
        <f t="shared" si="421"/>
        <v>9.3146584266844314</v>
      </c>
      <c r="DP290" s="775">
        <f t="shared" si="422"/>
        <v>4.6126116638453292</v>
      </c>
      <c r="DQ290" s="775">
        <f t="shared" si="423"/>
        <v>54.827230652082463</v>
      </c>
      <c r="DR290" s="775">
        <f t="shared" si="424"/>
        <v>116.46474577826496</v>
      </c>
      <c r="DS290" s="775">
        <f t="shared" si="425"/>
        <v>32.735548392109131</v>
      </c>
      <c r="DT290" s="775">
        <f t="shared" si="426"/>
        <v>50.508361669591515</v>
      </c>
      <c r="DU290" s="775">
        <f t="shared" si="427"/>
        <v>71.002764698071516</v>
      </c>
      <c r="DV290" s="775">
        <f t="shared" si="428"/>
        <v>10.258436706411398</v>
      </c>
      <c r="DW290" s="775">
        <f t="shared" si="429"/>
        <v>22.447306196842913</v>
      </c>
      <c r="DX290" s="775">
        <f t="shared" si="430"/>
        <v>10.20332099856496</v>
      </c>
      <c r="DY290" s="775">
        <f t="shared" si="431"/>
        <v>44.323863918244321</v>
      </c>
      <c r="DZ290" s="775">
        <f t="shared" si="432"/>
        <v>42.276554992439912</v>
      </c>
      <c r="EA290" s="775"/>
      <c r="EB290" s="775"/>
      <c r="EC290" s="775"/>
      <c r="ED290" s="775"/>
      <c r="EE290" s="775"/>
      <c r="EF290" s="775" t="b">
        <f t="shared" si="474"/>
        <v>0</v>
      </c>
      <c r="EG290" s="775">
        <f t="shared" si="433"/>
        <v>10.960136001097728</v>
      </c>
      <c r="EH290" s="775">
        <v>30</v>
      </c>
      <c r="EI290" s="775">
        <f t="shared" si="479"/>
        <v>15</v>
      </c>
      <c r="EJ290" s="673">
        <f t="shared" si="434"/>
        <v>4.0398639989022715</v>
      </c>
      <c r="EK290" s="673">
        <f t="shared" si="435"/>
        <v>2.2510196371999172</v>
      </c>
      <c r="EL290" s="775" t="b">
        <f t="shared" si="436"/>
        <v>0</v>
      </c>
      <c r="EM290" s="673"/>
      <c r="EN290" s="775">
        <f t="shared" si="437"/>
        <v>4.0398639989022715</v>
      </c>
      <c r="EO290" s="775">
        <f t="shared" si="438"/>
        <v>8.4597565143875286E-2</v>
      </c>
      <c r="EP290" s="775">
        <f t="shared" si="439"/>
        <v>5.6582193867744657E-3</v>
      </c>
      <c r="EQ290" s="775">
        <f t="shared" si="440"/>
        <v>4.8735513285242043</v>
      </c>
      <c r="ER290" s="775">
        <f t="shared" si="441"/>
        <v>2.5056439951773526</v>
      </c>
      <c r="ES290" s="775">
        <f t="shared" si="442"/>
        <v>3.7084337918609251</v>
      </c>
      <c r="ET290" s="775">
        <f t="shared" si="443"/>
        <v>7.2922248289754013</v>
      </c>
      <c r="EU290" s="775">
        <f t="shared" si="444"/>
        <v>2.2164567065880454</v>
      </c>
      <c r="EV290" s="775">
        <f t="shared" si="445"/>
        <v>3.1636086251789455</v>
      </c>
      <c r="EW290" s="775">
        <f t="shared" si="446"/>
        <v>105.7469564298441</v>
      </c>
      <c r="EX290" s="775">
        <f t="shared" si="447"/>
        <v>17.142271846354841</v>
      </c>
      <c r="EY290" s="775">
        <f t="shared" si="475"/>
        <v>13.418825920927659</v>
      </c>
      <c r="EZ290" s="775">
        <f t="shared" si="448"/>
        <v>6.0994663276943903</v>
      </c>
      <c r="FA290" s="775">
        <f t="shared" si="449"/>
        <v>4.0398639989022715</v>
      </c>
      <c r="FB290" s="775">
        <f t="shared" si="450"/>
        <v>3.294114549737936</v>
      </c>
      <c r="FC290" s="775"/>
      <c r="FD290" s="775"/>
      <c r="FE290" s="775"/>
      <c r="FF290" s="775"/>
      <c r="FG290" s="775"/>
      <c r="FH290" s="775"/>
      <c r="FI290" s="775"/>
      <c r="FJ290" s="775"/>
      <c r="FK290" s="775" t="b">
        <f t="shared" si="476"/>
        <v>0</v>
      </c>
      <c r="FL290" s="775">
        <f t="shared" si="451"/>
        <v>7.2765549924399124</v>
      </c>
      <c r="FM290" s="775">
        <v>30</v>
      </c>
      <c r="FN290" s="775">
        <f t="shared" si="477"/>
        <v>35</v>
      </c>
      <c r="FO290" s="673">
        <f t="shared" si="452"/>
        <v>42.276554992439912</v>
      </c>
      <c r="FP290" s="673">
        <f t="shared" si="453"/>
        <v>31.576723317281619</v>
      </c>
      <c r="FQ290" s="775" t="b">
        <f t="shared" si="454"/>
        <v>0</v>
      </c>
      <c r="FR290" s="673"/>
      <c r="FS290" s="775">
        <f t="shared" si="455"/>
        <v>42.276554992439912</v>
      </c>
      <c r="FT290" s="775">
        <f t="shared" si="456"/>
        <v>5.0571769727971165E-2</v>
      </c>
      <c r="FU290" s="775">
        <f t="shared" si="457"/>
        <v>2.4837933485885237E-3</v>
      </c>
      <c r="FV290" s="775">
        <f t="shared" si="458"/>
        <v>9.3146584266844314</v>
      </c>
      <c r="FW290" s="775">
        <f t="shared" si="459"/>
        <v>4.6126116638453292</v>
      </c>
      <c r="FX290" s="775">
        <f t="shared" si="460"/>
        <v>66.587088175138064</v>
      </c>
      <c r="FY290" s="775">
        <f t="shared" si="461"/>
        <v>141.44519437145442</v>
      </c>
      <c r="FZ290" s="775">
        <f t="shared" si="462"/>
        <v>32.735548392109131</v>
      </c>
      <c r="GA290" s="775">
        <f t="shared" si="463"/>
        <v>50.508361669591515</v>
      </c>
      <c r="GB290" s="775">
        <f t="shared" si="464"/>
        <v>71.002764698071516</v>
      </c>
      <c r="GC290" s="775">
        <f t="shared" si="465"/>
        <v>10.258436706411398</v>
      </c>
      <c r="GD290" s="775">
        <f t="shared" si="466"/>
        <v>39.81704109722908</v>
      </c>
      <c r="GE290" s="775">
        <f t="shared" si="467"/>
        <v>18.098655044195034</v>
      </c>
      <c r="GF290" s="775">
        <f t="shared" si="468"/>
        <v>49.227226985655278</v>
      </c>
      <c r="GG290" s="775">
        <f t="shared" si="469"/>
        <v>42.276554992439912</v>
      </c>
    </row>
    <row r="291" spans="70:189">
      <c r="BR291" s="775"/>
      <c r="BS291" s="775"/>
      <c r="BT291" s="775"/>
      <c r="BU291" s="775"/>
      <c r="BV291" s="775"/>
      <c r="BW291" s="775"/>
      <c r="BX291" s="775"/>
      <c r="BY291" s="775" t="b">
        <f t="shared" si="470"/>
        <v>0</v>
      </c>
      <c r="BZ291" s="775">
        <f t="shared" si="397"/>
        <v>11.419526167902234</v>
      </c>
      <c r="CA291" s="775">
        <v>31</v>
      </c>
      <c r="CB291" s="775">
        <f t="shared" si="478"/>
        <v>15.5</v>
      </c>
      <c r="CC291" s="673">
        <f t="shared" si="398"/>
        <v>4.0804738320977672</v>
      </c>
      <c r="CD291" s="91">
        <f t="shared" si="396"/>
        <v>2</v>
      </c>
      <c r="CE291" s="775" t="b">
        <f t="shared" si="399"/>
        <v>0</v>
      </c>
      <c r="CF291" s="673"/>
      <c r="CG291" s="775">
        <f t="shared" si="400"/>
        <v>4.0804738320977672</v>
      </c>
      <c r="CH291" s="775">
        <f t="shared" si="401"/>
        <v>8.1922318183252116E-2</v>
      </c>
      <c r="CI291" s="775">
        <f t="shared" si="402"/>
        <v>5.4792883006224737E-3</v>
      </c>
      <c r="CJ291" s="775">
        <f t="shared" si="403"/>
        <v>4.8929789765307667</v>
      </c>
      <c r="CK291" s="775">
        <f t="shared" si="404"/>
        <v>2.5107126022183044</v>
      </c>
      <c r="CL291" s="775">
        <f t="shared" si="405"/>
        <v>3.7383455062818687</v>
      </c>
      <c r="CM291" s="775">
        <f t="shared" si="406"/>
        <v>7.351042906584432</v>
      </c>
      <c r="CN291" s="775">
        <f t="shared" si="407"/>
        <v>2.2260080520846213</v>
      </c>
      <c r="CO291" s="775">
        <f t="shared" si="408"/>
        <v>3.1768156575179667</v>
      </c>
      <c r="CP291" s="775">
        <f t="shared" si="409"/>
        <v>102.40289772906515</v>
      </c>
      <c r="CQ291" s="775">
        <f t="shared" si="410"/>
        <v>16.60017810432878</v>
      </c>
      <c r="CR291" s="775">
        <f t="shared" si="471"/>
        <v>13.857029746895956</v>
      </c>
      <c r="CS291" s="775">
        <f t="shared" si="411"/>
        <v>6.2986498849527068</v>
      </c>
      <c r="CT291" s="775">
        <f t="shared" si="412"/>
        <v>4.0804738320977672</v>
      </c>
      <c r="CU291" s="775">
        <f t="shared" si="413"/>
        <v>3.3123292179782458</v>
      </c>
      <c r="CV291" s="775"/>
      <c r="CW291" s="775"/>
      <c r="CX291" s="775"/>
      <c r="CY291" s="775"/>
      <c r="CZ291" s="775"/>
      <c r="DA291" s="775"/>
      <c r="DB291" s="775"/>
      <c r="DC291" s="775"/>
      <c r="DD291" s="775" t="b">
        <f t="shared" si="472"/>
        <v>0</v>
      </c>
      <c r="DE291" s="775">
        <f t="shared" si="414"/>
        <v>9.7258621921279769</v>
      </c>
      <c r="DF291" s="775">
        <v>31</v>
      </c>
      <c r="DG291" s="775">
        <f t="shared" si="473"/>
        <v>34.5</v>
      </c>
      <c r="DH291" s="673">
        <f t="shared" si="415"/>
        <v>44.225862192127977</v>
      </c>
      <c r="DI291" s="673">
        <f t="shared" si="416"/>
        <v>26</v>
      </c>
      <c r="DJ291" s="775" t="b">
        <f t="shared" si="417"/>
        <v>0</v>
      </c>
      <c r="DK291" s="673"/>
      <c r="DL291" s="775">
        <f t="shared" si="418"/>
        <v>44.225862192127977</v>
      </c>
      <c r="DM291" s="775">
        <f t="shared" si="419"/>
        <v>5.1368958392386595E-2</v>
      </c>
      <c r="DN291" s="775">
        <f t="shared" si="420"/>
        <v>2.5229466531474908E-3</v>
      </c>
      <c r="DO291" s="775">
        <f t="shared" si="421"/>
        <v>9.3055615254844852</v>
      </c>
      <c r="DP291" s="775">
        <f t="shared" si="422"/>
        <v>4.6104207838788414</v>
      </c>
      <c r="DQ291" s="775">
        <f t="shared" si="423"/>
        <v>54.613267123396668</v>
      </c>
      <c r="DR291" s="775">
        <f t="shared" si="424"/>
        <v>116.01024155330531</v>
      </c>
      <c r="DS291" s="775">
        <f t="shared" si="425"/>
        <v>32.658594322758113</v>
      </c>
      <c r="DT291" s="775">
        <f t="shared" si="426"/>
        <v>50.399112248503606</v>
      </c>
      <c r="DU291" s="775">
        <f t="shared" si="427"/>
        <v>72.122017582910786</v>
      </c>
      <c r="DV291" s="775">
        <f t="shared" si="428"/>
        <v>10.420145689525176</v>
      </c>
      <c r="DW291" s="775">
        <f t="shared" si="429"/>
        <v>22.098949161644832</v>
      </c>
      <c r="DX291" s="775">
        <f t="shared" si="430"/>
        <v>10.044976891656741</v>
      </c>
      <c r="DY291" s="775">
        <f t="shared" si="431"/>
        <v>44.225862192127977</v>
      </c>
      <c r="DZ291" s="775">
        <f t="shared" si="432"/>
        <v>42.222812252237702</v>
      </c>
      <c r="EA291" s="775"/>
      <c r="EB291" s="775"/>
      <c r="EC291" s="775"/>
      <c r="ED291" s="775"/>
      <c r="EE291" s="775"/>
      <c r="EF291" s="775" t="b">
        <f t="shared" si="474"/>
        <v>0</v>
      </c>
      <c r="EG291" s="775">
        <f t="shared" si="433"/>
        <v>11.419526167902234</v>
      </c>
      <c r="EH291" s="775">
        <v>31</v>
      </c>
      <c r="EI291" s="775">
        <f t="shared" si="479"/>
        <v>15.5</v>
      </c>
      <c r="EJ291" s="673">
        <f t="shared" si="434"/>
        <v>4.0804738320977672</v>
      </c>
      <c r="EK291" s="673">
        <f t="shared" si="435"/>
        <v>2.2510196371999172</v>
      </c>
      <c r="EL291" s="775" t="b">
        <f t="shared" si="436"/>
        <v>0</v>
      </c>
      <c r="EM291" s="673"/>
      <c r="EN291" s="775">
        <f t="shared" si="437"/>
        <v>4.0804738320977672</v>
      </c>
      <c r="EO291" s="775">
        <f t="shared" si="438"/>
        <v>8.1922318183252116E-2</v>
      </c>
      <c r="EP291" s="775">
        <f t="shared" si="439"/>
        <v>5.4792883006224737E-3</v>
      </c>
      <c r="EQ291" s="775">
        <f t="shared" si="440"/>
        <v>4.8929789765307667</v>
      </c>
      <c r="ER291" s="775">
        <f t="shared" si="441"/>
        <v>2.5107126022183044</v>
      </c>
      <c r="ES291" s="775">
        <f t="shared" si="442"/>
        <v>3.7383455062818687</v>
      </c>
      <c r="ET291" s="775">
        <f t="shared" si="443"/>
        <v>7.351042906584432</v>
      </c>
      <c r="EU291" s="775">
        <f t="shared" si="444"/>
        <v>2.2260080520846213</v>
      </c>
      <c r="EV291" s="775">
        <f t="shared" si="445"/>
        <v>3.1768156575179667</v>
      </c>
      <c r="EW291" s="775">
        <f t="shared" si="446"/>
        <v>102.40289772906515</v>
      </c>
      <c r="EX291" s="775">
        <f t="shared" si="447"/>
        <v>16.60017810432878</v>
      </c>
      <c r="EY291" s="775">
        <f t="shared" si="475"/>
        <v>13.857029746895956</v>
      </c>
      <c r="EZ291" s="775">
        <f t="shared" si="448"/>
        <v>6.2986498849527068</v>
      </c>
      <c r="FA291" s="775">
        <f t="shared" si="449"/>
        <v>4.0804738320977672</v>
      </c>
      <c r="FB291" s="775">
        <f t="shared" si="450"/>
        <v>3.3123292179782458</v>
      </c>
      <c r="FC291" s="775"/>
      <c r="FD291" s="775"/>
      <c r="FE291" s="775"/>
      <c r="FF291" s="775"/>
      <c r="FG291" s="775"/>
      <c r="FH291" s="775"/>
      <c r="FI291" s="775"/>
      <c r="FJ291" s="775"/>
      <c r="FK291" s="775" t="b">
        <f t="shared" si="476"/>
        <v>0</v>
      </c>
      <c r="FL291" s="775">
        <f t="shared" si="451"/>
        <v>7.7228122522377021</v>
      </c>
      <c r="FM291" s="775">
        <v>31</v>
      </c>
      <c r="FN291" s="775">
        <f t="shared" si="477"/>
        <v>34.5</v>
      </c>
      <c r="FO291" s="673">
        <f t="shared" si="452"/>
        <v>42.222812252237702</v>
      </c>
      <c r="FP291" s="673">
        <f t="shared" si="453"/>
        <v>31.576723317281619</v>
      </c>
      <c r="FQ291" s="775" t="b">
        <f t="shared" si="454"/>
        <v>0</v>
      </c>
      <c r="FR291" s="673"/>
      <c r="FS291" s="775">
        <f t="shared" si="455"/>
        <v>42.222812252237702</v>
      </c>
      <c r="FT291" s="775">
        <f t="shared" si="456"/>
        <v>5.1368958392386595E-2</v>
      </c>
      <c r="FU291" s="775">
        <f t="shared" si="457"/>
        <v>2.5229466531474908E-3</v>
      </c>
      <c r="FV291" s="775">
        <f t="shared" si="458"/>
        <v>9.3055615254844852</v>
      </c>
      <c r="FW291" s="775">
        <f t="shared" si="459"/>
        <v>4.6104207838788414</v>
      </c>
      <c r="FX291" s="775">
        <f t="shared" si="460"/>
        <v>66.327231746472663</v>
      </c>
      <c r="FY291" s="775">
        <f t="shared" si="461"/>
        <v>140.89320382691264</v>
      </c>
      <c r="FZ291" s="775">
        <f t="shared" si="462"/>
        <v>32.658594322758113</v>
      </c>
      <c r="GA291" s="775">
        <f t="shared" si="463"/>
        <v>50.399112248503606</v>
      </c>
      <c r="GB291" s="775">
        <f t="shared" si="464"/>
        <v>72.122017582910786</v>
      </c>
      <c r="GC291" s="775">
        <f t="shared" si="465"/>
        <v>10.420145689525176</v>
      </c>
      <c r="GD291" s="775">
        <f t="shared" si="466"/>
        <v>39.19912524285624</v>
      </c>
      <c r="GE291" s="775">
        <f t="shared" si="467"/>
        <v>17.817784201298291</v>
      </c>
      <c r="GF291" s="775">
        <f t="shared" si="468"/>
        <v>49.128227431287335</v>
      </c>
      <c r="GG291" s="775">
        <f t="shared" si="469"/>
        <v>42.222812252237702</v>
      </c>
    </row>
    <row r="292" spans="70:189">
      <c r="BR292" s="775"/>
      <c r="BS292" s="775"/>
      <c r="BT292" s="775"/>
      <c r="BU292" s="775"/>
      <c r="BV292" s="775"/>
      <c r="BW292" s="775"/>
      <c r="BX292" s="775"/>
      <c r="BY292" s="775" t="b">
        <f t="shared" si="470"/>
        <v>0</v>
      </c>
      <c r="BZ292" s="775">
        <f t="shared" si="397"/>
        <v>11.879926791731734</v>
      </c>
      <c r="CA292" s="775">
        <v>32</v>
      </c>
      <c r="CB292" s="775">
        <f t="shared" si="478"/>
        <v>16</v>
      </c>
      <c r="CC292" s="673">
        <f t="shared" si="398"/>
        <v>4.1200732082682654</v>
      </c>
      <c r="CD292" s="91">
        <f t="shared" si="396"/>
        <v>2</v>
      </c>
      <c r="CE292" s="775" t="b">
        <f t="shared" si="399"/>
        <v>0</v>
      </c>
      <c r="CF292" s="673"/>
      <c r="CG292" s="775">
        <f t="shared" si="400"/>
        <v>4.1200732082682654</v>
      </c>
      <c r="CH292" s="775">
        <f t="shared" si="401"/>
        <v>7.9412654702472524E-2</v>
      </c>
      <c r="CI292" s="775">
        <f t="shared" si="402"/>
        <v>5.3114320917933356E-3</v>
      </c>
      <c r="CJ292" s="775">
        <f t="shared" si="403"/>
        <v>4.9113883171627126</v>
      </c>
      <c r="CK292" s="775">
        <f t="shared" si="404"/>
        <v>2.5154955599517086</v>
      </c>
      <c r="CL292" s="775">
        <f t="shared" si="405"/>
        <v>3.7675373553903144</v>
      </c>
      <c r="CM292" s="775">
        <f t="shared" si="406"/>
        <v>7.4084454486871154</v>
      </c>
      <c r="CN292" s="775">
        <f t="shared" si="407"/>
        <v>2.2352908565221874</v>
      </c>
      <c r="CO292" s="775">
        <f t="shared" si="408"/>
        <v>3.1896523864008186</v>
      </c>
      <c r="CP292" s="775">
        <f t="shared" si="409"/>
        <v>99.265818378090657</v>
      </c>
      <c r="CQ292" s="775">
        <f t="shared" si="410"/>
        <v>16.091637065857682</v>
      </c>
      <c r="CR292" s="775">
        <f t="shared" si="471"/>
        <v>14.294950902386285</v>
      </c>
      <c r="CS292" s="775">
        <f t="shared" si="411"/>
        <v>6.4977049556301285</v>
      </c>
      <c r="CT292" s="775">
        <f t="shared" si="412"/>
        <v>4.1200732082682654</v>
      </c>
      <c r="CU292" s="775">
        <f t="shared" si="413"/>
        <v>3.3300266024670675</v>
      </c>
      <c r="CV292" s="775"/>
      <c r="CW292" s="775"/>
      <c r="CX292" s="775"/>
      <c r="CY292" s="775"/>
      <c r="CZ292" s="775"/>
      <c r="DA292" s="775"/>
      <c r="DB292" s="775"/>
      <c r="DC292" s="775"/>
      <c r="DD292" s="775" t="b">
        <f t="shared" si="472"/>
        <v>0</v>
      </c>
      <c r="DE292" s="775">
        <f t="shared" si="414"/>
        <v>10.126469451510566</v>
      </c>
      <c r="DF292" s="775">
        <v>32</v>
      </c>
      <c r="DG292" s="775">
        <f t="shared" si="473"/>
        <v>34</v>
      </c>
      <c r="DH292" s="673">
        <f t="shared" si="415"/>
        <v>44.126469451510566</v>
      </c>
      <c r="DI292" s="673">
        <f t="shared" si="416"/>
        <v>26</v>
      </c>
      <c r="DJ292" s="775" t="b">
        <f t="shared" si="417"/>
        <v>0</v>
      </c>
      <c r="DK292" s="673"/>
      <c r="DL292" s="775">
        <f t="shared" si="418"/>
        <v>44.126469451510566</v>
      </c>
      <c r="DM292" s="775">
        <f t="shared" si="419"/>
        <v>5.2190629259403112E-2</v>
      </c>
      <c r="DN292" s="775">
        <f t="shared" si="420"/>
        <v>2.5633023821481273E-3</v>
      </c>
      <c r="DO292" s="775">
        <f t="shared" si="421"/>
        <v>9.2962093875585339</v>
      </c>
      <c r="DP292" s="775">
        <f t="shared" si="422"/>
        <v>4.6081658844578257</v>
      </c>
      <c r="DQ292" s="775">
        <f t="shared" si="423"/>
        <v>54.397033281021315</v>
      </c>
      <c r="DR292" s="775">
        <f t="shared" si="424"/>
        <v>115.55091469726344</v>
      </c>
      <c r="DS292" s="775">
        <f t="shared" si="425"/>
        <v>32.580660322319261</v>
      </c>
      <c r="DT292" s="775">
        <f t="shared" si="426"/>
        <v>50.288471622673974</v>
      </c>
      <c r="DU292" s="775">
        <f t="shared" si="427"/>
        <v>73.275643480201964</v>
      </c>
      <c r="DV292" s="775">
        <f t="shared" si="428"/>
        <v>10.586820864788599</v>
      </c>
      <c r="DW292" s="775">
        <f t="shared" si="429"/>
        <v>21.751031097128852</v>
      </c>
      <c r="DX292" s="775">
        <f t="shared" si="430"/>
        <v>9.8868323168767507</v>
      </c>
      <c r="DY292" s="775">
        <f t="shared" si="431"/>
        <v>44.126469451510566</v>
      </c>
      <c r="DZ292" s="775">
        <f t="shared" si="432"/>
        <v>42.168283051854182</v>
      </c>
      <c r="EA292" s="775"/>
      <c r="EB292" s="775"/>
      <c r="EC292" s="775"/>
      <c r="ED292" s="775"/>
      <c r="EE292" s="775"/>
      <c r="EF292" s="775" t="b">
        <f t="shared" si="474"/>
        <v>0</v>
      </c>
      <c r="EG292" s="775">
        <f t="shared" si="433"/>
        <v>11.879926791731734</v>
      </c>
      <c r="EH292" s="775">
        <v>32</v>
      </c>
      <c r="EI292" s="775">
        <f t="shared" si="479"/>
        <v>16</v>
      </c>
      <c r="EJ292" s="673">
        <f t="shared" si="434"/>
        <v>4.1200732082682654</v>
      </c>
      <c r="EK292" s="673">
        <f t="shared" si="435"/>
        <v>2.2510196371999172</v>
      </c>
      <c r="EL292" s="775" t="b">
        <f t="shared" si="436"/>
        <v>0</v>
      </c>
      <c r="EM292" s="673"/>
      <c r="EN292" s="775">
        <f t="shared" si="437"/>
        <v>4.1200732082682654</v>
      </c>
      <c r="EO292" s="775">
        <f t="shared" si="438"/>
        <v>7.9412654702472524E-2</v>
      </c>
      <c r="EP292" s="775">
        <f t="shared" si="439"/>
        <v>5.3114320917933356E-3</v>
      </c>
      <c r="EQ292" s="775">
        <f t="shared" si="440"/>
        <v>4.9113883171627126</v>
      </c>
      <c r="ER292" s="775">
        <f t="shared" si="441"/>
        <v>2.5154955599517086</v>
      </c>
      <c r="ES292" s="775">
        <f t="shared" si="442"/>
        <v>3.7675373553903144</v>
      </c>
      <c r="ET292" s="775">
        <f t="shared" si="443"/>
        <v>7.4084454486871154</v>
      </c>
      <c r="EU292" s="775">
        <f t="shared" si="444"/>
        <v>2.2352908565221874</v>
      </c>
      <c r="EV292" s="775">
        <f t="shared" si="445"/>
        <v>3.1896523864008186</v>
      </c>
      <c r="EW292" s="775">
        <f t="shared" si="446"/>
        <v>99.265818378090657</v>
      </c>
      <c r="EX292" s="775">
        <f t="shared" si="447"/>
        <v>16.091637065857682</v>
      </c>
      <c r="EY292" s="775">
        <f t="shared" si="475"/>
        <v>14.294950902386285</v>
      </c>
      <c r="EZ292" s="775">
        <f t="shared" si="448"/>
        <v>6.4977049556301285</v>
      </c>
      <c r="FA292" s="775">
        <f t="shared" si="449"/>
        <v>4.1200732082682654</v>
      </c>
      <c r="FB292" s="775">
        <f t="shared" si="450"/>
        <v>3.3300266024670675</v>
      </c>
      <c r="FC292" s="775"/>
      <c r="FD292" s="775"/>
      <c r="FE292" s="775"/>
      <c r="FF292" s="775"/>
      <c r="FG292" s="775"/>
      <c r="FH292" s="775"/>
      <c r="FI292" s="775"/>
      <c r="FJ292" s="775"/>
      <c r="FK292" s="775" t="b">
        <f t="shared" si="476"/>
        <v>0</v>
      </c>
      <c r="FL292" s="775">
        <f t="shared" si="451"/>
        <v>8.168283051854182</v>
      </c>
      <c r="FM292" s="775">
        <v>32</v>
      </c>
      <c r="FN292" s="775">
        <f t="shared" si="477"/>
        <v>34</v>
      </c>
      <c r="FO292" s="673">
        <f t="shared" si="452"/>
        <v>42.168283051854182</v>
      </c>
      <c r="FP292" s="673">
        <f t="shared" si="453"/>
        <v>31.576723317281619</v>
      </c>
      <c r="FQ292" s="775" t="b">
        <f t="shared" si="454"/>
        <v>0</v>
      </c>
      <c r="FR292" s="673"/>
      <c r="FS292" s="775">
        <f t="shared" si="455"/>
        <v>42.168283051854182</v>
      </c>
      <c r="FT292" s="775">
        <f t="shared" si="456"/>
        <v>5.2190629259403112E-2</v>
      </c>
      <c r="FU292" s="775">
        <f t="shared" si="457"/>
        <v>2.5633023821481273E-3</v>
      </c>
      <c r="FV292" s="775">
        <f t="shared" si="458"/>
        <v>9.2962093875585339</v>
      </c>
      <c r="FW292" s="775">
        <f t="shared" si="459"/>
        <v>4.6081658844578257</v>
      </c>
      <c r="FX292" s="775">
        <f t="shared" si="460"/>
        <v>66.064618045991153</v>
      </c>
      <c r="FY292" s="775">
        <f t="shared" si="461"/>
        <v>140.33535624824222</v>
      </c>
      <c r="FZ292" s="775">
        <f t="shared" si="462"/>
        <v>32.580660322319261</v>
      </c>
      <c r="GA292" s="775">
        <f t="shared" si="463"/>
        <v>50.288471622673974</v>
      </c>
      <c r="GB292" s="775">
        <f t="shared" si="464"/>
        <v>73.275643480201964</v>
      </c>
      <c r="GC292" s="775">
        <f t="shared" si="465"/>
        <v>10.586820864788599</v>
      </c>
      <c r="GD292" s="775">
        <f t="shared" si="466"/>
        <v>38.581988034862455</v>
      </c>
      <c r="GE292" s="775">
        <f t="shared" si="467"/>
        <v>17.53726728857384</v>
      </c>
      <c r="GF292" s="775">
        <f t="shared" si="468"/>
        <v>49.027784406817887</v>
      </c>
      <c r="GG292" s="775">
        <f t="shared" si="469"/>
        <v>42.168283051854182</v>
      </c>
    </row>
    <row r="293" spans="70:189">
      <c r="BR293" s="775"/>
      <c r="BS293" s="775"/>
      <c r="BT293" s="775"/>
      <c r="BU293" s="775"/>
      <c r="BV293" s="775"/>
      <c r="BW293" s="775"/>
      <c r="BX293" s="775"/>
      <c r="BY293" s="775" t="b">
        <f t="shared" si="470"/>
        <v>0</v>
      </c>
      <c r="BZ293" s="775">
        <f t="shared" si="397"/>
        <v>12.341282531105033</v>
      </c>
      <c r="CA293" s="775">
        <v>33</v>
      </c>
      <c r="CB293" s="775">
        <f t="shared" si="478"/>
        <v>16.5</v>
      </c>
      <c r="CC293" s="673">
        <f t="shared" si="398"/>
        <v>4.1587174688949657</v>
      </c>
      <c r="CD293" s="91">
        <f t="shared" si="396"/>
        <v>2</v>
      </c>
      <c r="CE293" s="775" t="b">
        <f t="shared" si="399"/>
        <v>0</v>
      </c>
      <c r="CF293" s="673"/>
      <c r="CG293" s="775">
        <f t="shared" si="400"/>
        <v>4.1587174688949657</v>
      </c>
      <c r="CH293" s="775">
        <f t="shared" si="401"/>
        <v>7.705361738349914E-2</v>
      </c>
      <c r="CI293" s="775">
        <f t="shared" si="402"/>
        <v>5.1536503557630042E-3</v>
      </c>
      <c r="CJ293" s="775">
        <f t="shared" si="403"/>
        <v>4.928857895705975</v>
      </c>
      <c r="CK293" s="775">
        <f t="shared" si="404"/>
        <v>2.5200164656568242</v>
      </c>
      <c r="CL293" s="775">
        <f t="shared" si="405"/>
        <v>3.7960483699334744</v>
      </c>
      <c r="CM293" s="775">
        <f t="shared" si="406"/>
        <v>7.4645092049303079</v>
      </c>
      <c r="CN293" s="775">
        <f t="shared" si="407"/>
        <v>2.2443207263693132</v>
      </c>
      <c r="CO293" s="775">
        <f t="shared" si="408"/>
        <v>3.202140302621459</v>
      </c>
      <c r="CP293" s="775">
        <f t="shared" si="409"/>
        <v>96.31702172937392</v>
      </c>
      <c r="CQ293" s="775">
        <f t="shared" si="410"/>
        <v>15.613617882341432</v>
      </c>
      <c r="CR293" s="775">
        <f t="shared" si="471"/>
        <v>14.732598397685356</v>
      </c>
      <c r="CS293" s="775">
        <f t="shared" si="411"/>
        <v>6.6966356353115248</v>
      </c>
      <c r="CT293" s="775">
        <f t="shared" si="412"/>
        <v>4.1587174688949657</v>
      </c>
      <c r="CU293" s="775">
        <f t="shared" si="413"/>
        <v>3.3472368798507537</v>
      </c>
      <c r="CV293" s="775"/>
      <c r="CW293" s="775"/>
      <c r="CX293" s="775"/>
      <c r="CY293" s="775"/>
      <c r="CZ293" s="775"/>
      <c r="DA293" s="775"/>
      <c r="DB293" s="775"/>
      <c r="DC293" s="775"/>
      <c r="DD293" s="775" t="b">
        <f t="shared" si="472"/>
        <v>0</v>
      </c>
      <c r="DE293" s="775">
        <f t="shared" si="414"/>
        <v>10.525645846297273</v>
      </c>
      <c r="DF293" s="775">
        <v>33</v>
      </c>
      <c r="DG293" s="775">
        <f t="shared" si="473"/>
        <v>33.5</v>
      </c>
      <c r="DH293" s="673">
        <f t="shared" si="415"/>
        <v>44.025645846297273</v>
      </c>
      <c r="DI293" s="673">
        <f t="shared" si="416"/>
        <v>26</v>
      </c>
      <c r="DJ293" s="775" t="b">
        <f t="shared" si="417"/>
        <v>0</v>
      </c>
      <c r="DK293" s="673"/>
      <c r="DL293" s="775">
        <f t="shared" si="418"/>
        <v>44.025645846297273</v>
      </c>
      <c r="DM293" s="775">
        <f t="shared" si="419"/>
        <v>5.3037911062916623E-2</v>
      </c>
      <c r="DN293" s="775">
        <f t="shared" si="420"/>
        <v>2.6049159724825578E-3</v>
      </c>
      <c r="DO293" s="775">
        <f t="shared" si="421"/>
        <v>9.2865912991620814</v>
      </c>
      <c r="DP293" s="775">
        <f t="shared" si="422"/>
        <v>4.6058441626662248</v>
      </c>
      <c r="DQ293" s="775">
        <f t="shared" si="423"/>
        <v>54.178471109671605</v>
      </c>
      <c r="DR293" s="775">
        <f t="shared" si="424"/>
        <v>115.08664197328585</v>
      </c>
      <c r="DS293" s="775">
        <f t="shared" si="425"/>
        <v>32.501719247427793</v>
      </c>
      <c r="DT293" s="775">
        <f t="shared" si="426"/>
        <v>50.176401199215746</v>
      </c>
      <c r="DU293" s="775">
        <f t="shared" si="427"/>
        <v>74.465227132334945</v>
      </c>
      <c r="DV293" s="775">
        <f t="shared" si="428"/>
        <v>10.758691194828288</v>
      </c>
      <c r="DW293" s="775">
        <f t="shared" si="429"/>
        <v>21.403557893774519</v>
      </c>
      <c r="DX293" s="775">
        <f t="shared" si="430"/>
        <v>9.7288899517156899</v>
      </c>
      <c r="DY293" s="775">
        <f t="shared" si="431"/>
        <v>44.025645846297273</v>
      </c>
      <c r="DZ293" s="775">
        <f t="shared" si="432"/>
        <v>42.112944144334243</v>
      </c>
      <c r="EA293" s="775"/>
      <c r="EB293" s="775"/>
      <c r="EC293" s="775"/>
      <c r="ED293" s="775"/>
      <c r="EE293" s="775"/>
      <c r="EF293" s="775" t="b">
        <f t="shared" si="474"/>
        <v>0</v>
      </c>
      <c r="EG293" s="775">
        <f t="shared" si="433"/>
        <v>12.341282531105033</v>
      </c>
      <c r="EH293" s="775">
        <v>33</v>
      </c>
      <c r="EI293" s="775">
        <f t="shared" si="479"/>
        <v>16.5</v>
      </c>
      <c r="EJ293" s="673">
        <f t="shared" si="434"/>
        <v>4.1587174688949657</v>
      </c>
      <c r="EK293" s="673">
        <f t="shared" si="435"/>
        <v>2.2510196371999172</v>
      </c>
      <c r="EL293" s="775" t="b">
        <f t="shared" si="436"/>
        <v>0</v>
      </c>
      <c r="EM293" s="673"/>
      <c r="EN293" s="775">
        <f t="shared" si="437"/>
        <v>4.1587174688949657</v>
      </c>
      <c r="EO293" s="775">
        <f t="shared" si="438"/>
        <v>7.705361738349914E-2</v>
      </c>
      <c r="EP293" s="775">
        <f t="shared" si="439"/>
        <v>5.1536503557630042E-3</v>
      </c>
      <c r="EQ293" s="775">
        <f t="shared" si="440"/>
        <v>4.928857895705975</v>
      </c>
      <c r="ER293" s="775">
        <f t="shared" si="441"/>
        <v>2.5200164656568242</v>
      </c>
      <c r="ES293" s="775">
        <f t="shared" si="442"/>
        <v>3.7960483699334744</v>
      </c>
      <c r="ET293" s="775">
        <f t="shared" si="443"/>
        <v>7.4645092049303079</v>
      </c>
      <c r="EU293" s="775">
        <f t="shared" si="444"/>
        <v>2.2443207263693132</v>
      </c>
      <c r="EV293" s="775">
        <f t="shared" si="445"/>
        <v>3.202140302621459</v>
      </c>
      <c r="EW293" s="775">
        <f t="shared" si="446"/>
        <v>96.31702172937392</v>
      </c>
      <c r="EX293" s="775">
        <f t="shared" si="447"/>
        <v>15.613617882341432</v>
      </c>
      <c r="EY293" s="775">
        <f t="shared" si="475"/>
        <v>14.732598397685356</v>
      </c>
      <c r="EZ293" s="775">
        <f t="shared" si="448"/>
        <v>6.6966356353115248</v>
      </c>
      <c r="FA293" s="775">
        <f t="shared" si="449"/>
        <v>4.1587174688949657</v>
      </c>
      <c r="FB293" s="775">
        <f t="shared" si="450"/>
        <v>3.3472368798507537</v>
      </c>
      <c r="FC293" s="775"/>
      <c r="FD293" s="775"/>
      <c r="FE293" s="775"/>
      <c r="FF293" s="775"/>
      <c r="FG293" s="775"/>
      <c r="FH293" s="775"/>
      <c r="FI293" s="775"/>
      <c r="FJ293" s="775"/>
      <c r="FK293" s="775" t="b">
        <f t="shared" si="476"/>
        <v>0</v>
      </c>
      <c r="FL293" s="775">
        <f t="shared" si="451"/>
        <v>8.6129441443342429</v>
      </c>
      <c r="FM293" s="775">
        <v>33</v>
      </c>
      <c r="FN293" s="775">
        <f t="shared" si="477"/>
        <v>33.5</v>
      </c>
      <c r="FO293" s="673">
        <f t="shared" si="452"/>
        <v>42.112944144334243</v>
      </c>
      <c r="FP293" s="673">
        <f t="shared" si="453"/>
        <v>31.576723317281619</v>
      </c>
      <c r="FQ293" s="775" t="b">
        <f t="shared" si="454"/>
        <v>0</v>
      </c>
      <c r="FR293" s="673"/>
      <c r="FS293" s="775">
        <f t="shared" si="455"/>
        <v>42.112944144334243</v>
      </c>
      <c r="FT293" s="775">
        <f t="shared" si="456"/>
        <v>5.3037911062916623E-2</v>
      </c>
      <c r="FU293" s="775">
        <f t="shared" si="457"/>
        <v>2.6049159724825578E-3</v>
      </c>
      <c r="FV293" s="775">
        <f t="shared" si="458"/>
        <v>9.2865912991620814</v>
      </c>
      <c r="FW293" s="775">
        <f t="shared" si="459"/>
        <v>4.6058441626662248</v>
      </c>
      <c r="FX293" s="775">
        <f t="shared" si="460"/>
        <v>65.799176614747537</v>
      </c>
      <c r="FY293" s="775">
        <f t="shared" si="461"/>
        <v>139.77150196559603</v>
      </c>
      <c r="FZ293" s="775">
        <f t="shared" si="462"/>
        <v>32.501719247427793</v>
      </c>
      <c r="GA293" s="775">
        <f t="shared" si="463"/>
        <v>50.176401199215746</v>
      </c>
      <c r="GB293" s="775">
        <f t="shared" si="464"/>
        <v>74.465227132334945</v>
      </c>
      <c r="GC293" s="775">
        <f t="shared" si="465"/>
        <v>10.758691194828288</v>
      </c>
      <c r="GD293" s="775">
        <f t="shared" si="466"/>
        <v>37.96563992178281</v>
      </c>
      <c r="GE293" s="775">
        <f t="shared" si="467"/>
        <v>17.257109055355823</v>
      </c>
      <c r="GF293" s="775">
        <f t="shared" si="468"/>
        <v>48.92585597587766</v>
      </c>
      <c r="GG293" s="775">
        <f t="shared" si="469"/>
        <v>42.112944144334243</v>
      </c>
    </row>
    <row r="294" spans="70:189">
      <c r="BR294" s="775"/>
      <c r="BS294" s="775"/>
      <c r="BT294" s="775"/>
      <c r="BU294" s="775"/>
      <c r="BV294" s="775"/>
      <c r="BW294" s="775"/>
      <c r="BX294" s="775"/>
      <c r="BY294" s="775" t="b">
        <f t="shared" si="470"/>
        <v>0</v>
      </c>
      <c r="BZ294" s="775">
        <f t="shared" si="397"/>
        <v>12.803542639329105</v>
      </c>
      <c r="CA294" s="775">
        <v>34</v>
      </c>
      <c r="CB294" s="775">
        <f t="shared" si="478"/>
        <v>17</v>
      </c>
      <c r="CC294" s="673">
        <f t="shared" si="398"/>
        <v>4.1964573606708955</v>
      </c>
      <c r="CD294" s="91">
        <f t="shared" si="396"/>
        <v>2</v>
      </c>
      <c r="CE294" s="775" t="b">
        <f t="shared" si="399"/>
        <v>0</v>
      </c>
      <c r="CF294" s="673"/>
      <c r="CG294" s="775">
        <f t="shared" si="400"/>
        <v>4.1964573606708955</v>
      </c>
      <c r="CH294" s="775">
        <f t="shared" si="401"/>
        <v>7.4832000322846912E-2</v>
      </c>
      <c r="CI294" s="775">
        <f t="shared" si="402"/>
        <v>5.0050598295322216E-3</v>
      </c>
      <c r="CJ294" s="775">
        <f t="shared" si="403"/>
        <v>4.9454583438686459</v>
      </c>
      <c r="CK294" s="775">
        <f t="shared" si="404"/>
        <v>2.5242963796534075</v>
      </c>
      <c r="CL294" s="775">
        <f t="shared" si="405"/>
        <v>3.823914357859143</v>
      </c>
      <c r="CM294" s="775">
        <f t="shared" si="406"/>
        <v>7.5193045876823144</v>
      </c>
      <c r="CN294" s="775">
        <f t="shared" si="407"/>
        <v>2.2531119211214183</v>
      </c>
      <c r="CO294" s="775">
        <f t="shared" si="408"/>
        <v>3.214299043802304</v>
      </c>
      <c r="CP294" s="775">
        <f t="shared" si="409"/>
        <v>93.540000403558636</v>
      </c>
      <c r="CQ294" s="775">
        <f t="shared" si="410"/>
        <v>15.163444599842917</v>
      </c>
      <c r="CR294" s="775">
        <f t="shared" si="471"/>
        <v>15.169980691447757</v>
      </c>
      <c r="CS294" s="775">
        <f t="shared" si="411"/>
        <v>6.8954457688398891</v>
      </c>
      <c r="CT294" s="775">
        <f t="shared" si="412"/>
        <v>4.1964573606708955</v>
      </c>
      <c r="CU294" s="775">
        <f t="shared" si="413"/>
        <v>3.3639876164370768</v>
      </c>
      <c r="CV294" s="775"/>
      <c r="CW294" s="775"/>
      <c r="CX294" s="775"/>
      <c r="CY294" s="775"/>
      <c r="CZ294" s="775"/>
      <c r="DA294" s="775"/>
      <c r="DB294" s="775"/>
      <c r="DC294" s="775"/>
      <c r="DD294" s="775" t="b">
        <f t="shared" si="472"/>
        <v>0</v>
      </c>
      <c r="DE294" s="775">
        <f t="shared" si="414"/>
        <v>10.923349780413332</v>
      </c>
      <c r="DF294" s="775">
        <v>34</v>
      </c>
      <c r="DG294" s="775">
        <f t="shared" si="473"/>
        <v>33</v>
      </c>
      <c r="DH294" s="673">
        <f t="shared" si="415"/>
        <v>43.923349780413332</v>
      </c>
      <c r="DI294" s="673">
        <f t="shared" si="416"/>
        <v>26</v>
      </c>
      <c r="DJ294" s="775" t="b">
        <f t="shared" si="417"/>
        <v>0</v>
      </c>
      <c r="DK294" s="673"/>
      <c r="DL294" s="775">
        <f t="shared" si="418"/>
        <v>43.923349780413332</v>
      </c>
      <c r="DM294" s="775">
        <f t="shared" si="419"/>
        <v>5.3912002478337273E-2</v>
      </c>
      <c r="DN294" s="775">
        <f t="shared" si="420"/>
        <v>2.6478462961662735E-3</v>
      </c>
      <c r="DO294" s="775">
        <f t="shared" si="421"/>
        <v>9.2766959439081464</v>
      </c>
      <c r="DP294" s="775">
        <f t="shared" si="422"/>
        <v>4.6034526509296123</v>
      </c>
      <c r="DQ294" s="775">
        <f t="shared" si="423"/>
        <v>53.957520218555494</v>
      </c>
      <c r="DR294" s="775">
        <f t="shared" si="424"/>
        <v>114.61729509843434</v>
      </c>
      <c r="DS294" s="775">
        <f t="shared" si="425"/>
        <v>32.42174278445426</v>
      </c>
      <c r="DT294" s="775">
        <f t="shared" si="426"/>
        <v>50.0628607185376</v>
      </c>
      <c r="DU294" s="775">
        <f t="shared" si="427"/>
        <v>75.692451479585529</v>
      </c>
      <c r="DV294" s="775">
        <f t="shared" si="428"/>
        <v>10.935999829842313</v>
      </c>
      <c r="DW294" s="775">
        <f t="shared" si="429"/>
        <v>21.056535610157347</v>
      </c>
      <c r="DX294" s="775">
        <f t="shared" si="430"/>
        <v>9.5711525500715204</v>
      </c>
      <c r="DY294" s="775">
        <f t="shared" si="431"/>
        <v>43.923349780413332</v>
      </c>
      <c r="DZ294" s="775">
        <f t="shared" si="432"/>
        <v>42.056771236980616</v>
      </c>
      <c r="EA294" s="775"/>
      <c r="EB294" s="775"/>
      <c r="EC294" s="775"/>
      <c r="ED294" s="775"/>
      <c r="EE294" s="775"/>
      <c r="EF294" s="775" t="b">
        <f t="shared" si="474"/>
        <v>0</v>
      </c>
      <c r="EG294" s="775">
        <f t="shared" si="433"/>
        <v>12.803542639329105</v>
      </c>
      <c r="EH294" s="775">
        <v>34</v>
      </c>
      <c r="EI294" s="775">
        <f t="shared" si="479"/>
        <v>17</v>
      </c>
      <c r="EJ294" s="673">
        <f t="shared" si="434"/>
        <v>4.1964573606708955</v>
      </c>
      <c r="EK294" s="673">
        <f t="shared" si="435"/>
        <v>2.2510196371999172</v>
      </c>
      <c r="EL294" s="775" t="b">
        <f t="shared" si="436"/>
        <v>0</v>
      </c>
      <c r="EM294" s="673"/>
      <c r="EN294" s="775">
        <f t="shared" si="437"/>
        <v>4.1964573606708955</v>
      </c>
      <c r="EO294" s="775">
        <f t="shared" si="438"/>
        <v>7.4832000322846912E-2</v>
      </c>
      <c r="EP294" s="775">
        <f t="shared" si="439"/>
        <v>5.0050598295322216E-3</v>
      </c>
      <c r="EQ294" s="775">
        <f t="shared" si="440"/>
        <v>4.9454583438686459</v>
      </c>
      <c r="ER294" s="775">
        <f t="shared" si="441"/>
        <v>2.5242963796534075</v>
      </c>
      <c r="ES294" s="775">
        <f t="shared" si="442"/>
        <v>3.823914357859143</v>
      </c>
      <c r="ET294" s="775">
        <f t="shared" si="443"/>
        <v>7.5193045876823144</v>
      </c>
      <c r="EU294" s="775">
        <f t="shared" si="444"/>
        <v>2.2531119211214183</v>
      </c>
      <c r="EV294" s="775">
        <f t="shared" si="445"/>
        <v>3.214299043802304</v>
      </c>
      <c r="EW294" s="775">
        <f t="shared" si="446"/>
        <v>93.540000403558636</v>
      </c>
      <c r="EX294" s="775">
        <f t="shared" si="447"/>
        <v>15.163444599842917</v>
      </c>
      <c r="EY294" s="775">
        <f t="shared" si="475"/>
        <v>15.169980691447757</v>
      </c>
      <c r="EZ294" s="775">
        <f t="shared" si="448"/>
        <v>6.8954457688398891</v>
      </c>
      <c r="FA294" s="775">
        <f t="shared" si="449"/>
        <v>4.1964573606708955</v>
      </c>
      <c r="FB294" s="775">
        <f t="shared" si="450"/>
        <v>3.3639876164370768</v>
      </c>
      <c r="FC294" s="775"/>
      <c r="FD294" s="775"/>
      <c r="FE294" s="775"/>
      <c r="FF294" s="775"/>
      <c r="FG294" s="775"/>
      <c r="FH294" s="775"/>
      <c r="FI294" s="775"/>
      <c r="FJ294" s="775"/>
      <c r="FK294" s="775" t="b">
        <f t="shared" si="476"/>
        <v>0</v>
      </c>
      <c r="FL294" s="775">
        <f t="shared" si="451"/>
        <v>9.0567712369806159</v>
      </c>
      <c r="FM294" s="775">
        <v>34</v>
      </c>
      <c r="FN294" s="775">
        <f t="shared" si="477"/>
        <v>33</v>
      </c>
      <c r="FO294" s="673">
        <f t="shared" si="452"/>
        <v>42.056771236980616</v>
      </c>
      <c r="FP294" s="673">
        <f t="shared" si="453"/>
        <v>31.576723317281619</v>
      </c>
      <c r="FQ294" s="775" t="b">
        <f t="shared" si="454"/>
        <v>0</v>
      </c>
      <c r="FR294" s="673"/>
      <c r="FS294" s="775">
        <f t="shared" si="455"/>
        <v>42.056771236980616</v>
      </c>
      <c r="FT294" s="775">
        <f t="shared" si="456"/>
        <v>5.3912002478337273E-2</v>
      </c>
      <c r="FU294" s="775">
        <f t="shared" si="457"/>
        <v>2.6478462961662735E-3</v>
      </c>
      <c r="FV294" s="775">
        <f t="shared" si="458"/>
        <v>9.2766959439081464</v>
      </c>
      <c r="FW294" s="775">
        <f t="shared" si="459"/>
        <v>4.6034526509296123</v>
      </c>
      <c r="FX294" s="775">
        <f t="shared" si="460"/>
        <v>65.530834108767522</v>
      </c>
      <c r="FY294" s="775">
        <f t="shared" si="461"/>
        <v>139.20148518071076</v>
      </c>
      <c r="FZ294" s="775">
        <f t="shared" si="462"/>
        <v>32.42174278445426</v>
      </c>
      <c r="GA294" s="775">
        <f t="shared" si="463"/>
        <v>50.0628607185376</v>
      </c>
      <c r="GB294" s="775">
        <f t="shared" si="464"/>
        <v>75.692451479585529</v>
      </c>
      <c r="GC294" s="775">
        <f t="shared" si="465"/>
        <v>10.935999829842313</v>
      </c>
      <c r="GD294" s="775">
        <f t="shared" si="466"/>
        <v>37.350091650321062</v>
      </c>
      <c r="GE294" s="775">
        <f t="shared" si="467"/>
        <v>16.977314386509573</v>
      </c>
      <c r="GF294" s="775">
        <f t="shared" si="468"/>
        <v>48.822398347655231</v>
      </c>
      <c r="GG294" s="775">
        <f t="shared" si="469"/>
        <v>42.056771236980616</v>
      </c>
    </row>
    <row r="295" spans="70:189">
      <c r="BR295" s="775"/>
      <c r="BS295" s="775"/>
      <c r="BT295" s="775"/>
      <c r="BU295" s="775"/>
      <c r="BV295" s="775"/>
      <c r="BW295" s="775"/>
      <c r="BX295" s="775"/>
      <c r="BY295" s="775" t="b">
        <f t="shared" si="470"/>
        <v>0</v>
      </c>
      <c r="BZ295" s="775">
        <f t="shared" si="397"/>
        <v>13.266660460561582</v>
      </c>
      <c r="CA295" s="775">
        <v>35</v>
      </c>
      <c r="CB295" s="775">
        <f t="shared" si="478"/>
        <v>17.5</v>
      </c>
      <c r="CC295" s="673">
        <f t="shared" si="398"/>
        <v>4.2333395394384192</v>
      </c>
      <c r="CD295" s="91">
        <f t="shared" si="396"/>
        <v>2</v>
      </c>
      <c r="CE295" s="775" t="b">
        <f t="shared" si="399"/>
        <v>0</v>
      </c>
      <c r="CF295" s="673"/>
      <c r="CG295" s="775">
        <f t="shared" si="400"/>
        <v>4.2333395394384192</v>
      </c>
      <c r="CH295" s="775">
        <f t="shared" si="401"/>
        <v>7.2736099756903219E-2</v>
      </c>
      <c r="CI295" s="775">
        <f t="shared" si="402"/>
        <v>4.8648777191510843E-3</v>
      </c>
      <c r="CJ295" s="775">
        <f t="shared" si="403"/>
        <v>4.9612533558288883</v>
      </c>
      <c r="CK295" s="775">
        <f t="shared" si="404"/>
        <v>2.5283541580435687</v>
      </c>
      <c r="CL295" s="775">
        <f t="shared" si="405"/>
        <v>3.8511682564927443</v>
      </c>
      <c r="CM295" s="775">
        <f t="shared" si="406"/>
        <v>7.5728963645500889</v>
      </c>
      <c r="CN295" s="775">
        <f t="shared" si="407"/>
        <v>2.2616775053233487</v>
      </c>
      <c r="CO295" s="775">
        <f t="shared" si="408"/>
        <v>3.2261466034101258</v>
      </c>
      <c r="CP295" s="775">
        <f t="shared" si="409"/>
        <v>90.920124696129022</v>
      </c>
      <c r="CQ295" s="775">
        <f t="shared" si="410"/>
        <v>14.738745647772229</v>
      </c>
      <c r="CR295" s="775">
        <f t="shared" si="471"/>
        <v>15.607105739708853</v>
      </c>
      <c r="CS295" s="775">
        <f t="shared" si="411"/>
        <v>7.0941389725949326</v>
      </c>
      <c r="CT295" s="775">
        <f t="shared" si="412"/>
        <v>4.2333395394384192</v>
      </c>
      <c r="CU295" s="775">
        <f t="shared" si="413"/>
        <v>3.3803040632622805</v>
      </c>
      <c r="CV295" s="775"/>
      <c r="CW295" s="775"/>
      <c r="CX295" s="775"/>
      <c r="CY295" s="775"/>
      <c r="CZ295" s="775"/>
      <c r="DA295" s="775"/>
      <c r="DB295" s="775"/>
      <c r="DC295" s="775"/>
      <c r="DD295" s="775" t="b">
        <f t="shared" si="472"/>
        <v>0</v>
      </c>
      <c r="DE295" s="775">
        <f t="shared" si="414"/>
        <v>11.319537807841755</v>
      </c>
      <c r="DF295" s="775">
        <v>35</v>
      </c>
      <c r="DG295" s="775">
        <f t="shared" si="473"/>
        <v>32.5</v>
      </c>
      <c r="DH295" s="673">
        <f t="shared" si="415"/>
        <v>43.819537807841755</v>
      </c>
      <c r="DI295" s="673">
        <f t="shared" si="416"/>
        <v>26</v>
      </c>
      <c r="DJ295" s="775" t="b">
        <f t="shared" si="417"/>
        <v>0</v>
      </c>
      <c r="DK295" s="673"/>
      <c r="DL295" s="775">
        <f t="shared" si="418"/>
        <v>43.819537807841755</v>
      </c>
      <c r="DM295" s="775">
        <f t="shared" si="419"/>
        <v>5.4814177599930555E-2</v>
      </c>
      <c r="DN295" s="775">
        <f t="shared" si="420"/>
        <v>2.6921559293535029E-3</v>
      </c>
      <c r="DO295" s="775">
        <f t="shared" si="421"/>
        <v>9.2665113600379421</v>
      </c>
      <c r="DP295" s="775">
        <f t="shared" si="422"/>
        <v>4.6009882048085871</v>
      </c>
      <c r="DQ295" s="775">
        <f t="shared" si="423"/>
        <v>53.73411770642474</v>
      </c>
      <c r="DR295" s="775">
        <f t="shared" si="424"/>
        <v>114.14274045702557</v>
      </c>
      <c r="DS295" s="775">
        <f t="shared" si="425"/>
        <v>32.340701380455663</v>
      </c>
      <c r="DT295" s="775">
        <f t="shared" si="426"/>
        <v>49.947808155839219</v>
      </c>
      <c r="DU295" s="775">
        <f t="shared" si="427"/>
        <v>76.959105350302494</v>
      </c>
      <c r="DV295" s="775">
        <f t="shared" si="428"/>
        <v>11.119005218673799</v>
      </c>
      <c r="DW295" s="775">
        <f t="shared" si="429"/>
        <v>20.709970480364156</v>
      </c>
      <c r="DX295" s="775">
        <f t="shared" si="430"/>
        <v>9.4136229456200695</v>
      </c>
      <c r="DY295" s="775">
        <f t="shared" si="431"/>
        <v>43.819537807841755</v>
      </c>
      <c r="DZ295" s="775">
        <f t="shared" si="432"/>
        <v>41.999738927670712</v>
      </c>
      <c r="EA295" s="775"/>
      <c r="EB295" s="775"/>
      <c r="EC295" s="775"/>
      <c r="ED295" s="775"/>
      <c r="EE295" s="775"/>
      <c r="EF295" s="775" t="b">
        <f t="shared" si="474"/>
        <v>0</v>
      </c>
      <c r="EG295" s="775">
        <f t="shared" si="433"/>
        <v>13.266660460561582</v>
      </c>
      <c r="EH295" s="775">
        <v>35</v>
      </c>
      <c r="EI295" s="775">
        <f t="shared" si="479"/>
        <v>17.5</v>
      </c>
      <c r="EJ295" s="673">
        <f t="shared" si="434"/>
        <v>4.2333395394384192</v>
      </c>
      <c r="EK295" s="673">
        <f t="shared" si="435"/>
        <v>2.2510196371999172</v>
      </c>
      <c r="EL295" s="775" t="b">
        <f t="shared" si="436"/>
        <v>0</v>
      </c>
      <c r="EM295" s="673"/>
      <c r="EN295" s="775">
        <f t="shared" si="437"/>
        <v>4.2333395394384192</v>
      </c>
      <c r="EO295" s="775">
        <f t="shared" si="438"/>
        <v>7.2736099756903219E-2</v>
      </c>
      <c r="EP295" s="775">
        <f t="shared" si="439"/>
        <v>4.8648777191510843E-3</v>
      </c>
      <c r="EQ295" s="775">
        <f t="shared" si="440"/>
        <v>4.9612533558288883</v>
      </c>
      <c r="ER295" s="775">
        <f t="shared" si="441"/>
        <v>2.5283541580435687</v>
      </c>
      <c r="ES295" s="775">
        <f t="shared" si="442"/>
        <v>3.8511682564927443</v>
      </c>
      <c r="ET295" s="775">
        <f t="shared" si="443"/>
        <v>7.5728963645500889</v>
      </c>
      <c r="EU295" s="775">
        <f t="shared" si="444"/>
        <v>2.2616775053233487</v>
      </c>
      <c r="EV295" s="775">
        <f t="shared" si="445"/>
        <v>3.2261466034101258</v>
      </c>
      <c r="EW295" s="775">
        <f t="shared" si="446"/>
        <v>90.920124696129022</v>
      </c>
      <c r="EX295" s="775">
        <f t="shared" si="447"/>
        <v>14.738745647772229</v>
      </c>
      <c r="EY295" s="775">
        <f t="shared" si="475"/>
        <v>15.607105739708853</v>
      </c>
      <c r="EZ295" s="775">
        <f t="shared" si="448"/>
        <v>7.0941389725949326</v>
      </c>
      <c r="FA295" s="775">
        <f t="shared" si="449"/>
        <v>4.2333395394384192</v>
      </c>
      <c r="FB295" s="775">
        <f t="shared" si="450"/>
        <v>3.3803040632622805</v>
      </c>
      <c r="FC295" s="775"/>
      <c r="FD295" s="775"/>
      <c r="FE295" s="775"/>
      <c r="FF295" s="775"/>
      <c r="FG295" s="775"/>
      <c r="FH295" s="775"/>
      <c r="FI295" s="775"/>
      <c r="FJ295" s="775"/>
      <c r="FK295" s="775" t="b">
        <f t="shared" si="476"/>
        <v>0</v>
      </c>
      <c r="FL295" s="775">
        <f t="shared" si="451"/>
        <v>9.4997389276707125</v>
      </c>
      <c r="FM295" s="775">
        <v>35</v>
      </c>
      <c r="FN295" s="775">
        <f t="shared" si="477"/>
        <v>32.5</v>
      </c>
      <c r="FO295" s="673">
        <f t="shared" si="452"/>
        <v>41.999738927670712</v>
      </c>
      <c r="FP295" s="673">
        <f t="shared" si="453"/>
        <v>31.576723317281619</v>
      </c>
      <c r="FQ295" s="775" t="b">
        <f t="shared" si="454"/>
        <v>0</v>
      </c>
      <c r="FR295" s="673"/>
      <c r="FS295" s="775">
        <f t="shared" si="455"/>
        <v>41.999738927670712</v>
      </c>
      <c r="FT295" s="775">
        <f t="shared" si="456"/>
        <v>5.4814177599930555E-2</v>
      </c>
      <c r="FU295" s="775">
        <f t="shared" si="457"/>
        <v>2.6921559293535029E-3</v>
      </c>
      <c r="FV295" s="775">
        <f t="shared" si="458"/>
        <v>9.2665113600379421</v>
      </c>
      <c r="FW295" s="775">
        <f t="shared" si="459"/>
        <v>4.6009882048085871</v>
      </c>
      <c r="FX295" s="775">
        <f t="shared" si="460"/>
        <v>65.259514135154518</v>
      </c>
      <c r="FY295" s="775">
        <f t="shared" si="461"/>
        <v>138.62514361876089</v>
      </c>
      <c r="FZ295" s="775">
        <f t="shared" si="462"/>
        <v>32.340701380455663</v>
      </c>
      <c r="GA295" s="775">
        <f t="shared" si="463"/>
        <v>49.947808155839219</v>
      </c>
      <c r="GB295" s="775">
        <f t="shared" si="464"/>
        <v>76.959105350302494</v>
      </c>
      <c r="GC295" s="775">
        <f t="shared" si="465"/>
        <v>11.119005218673799</v>
      </c>
      <c r="GD295" s="775">
        <f t="shared" si="466"/>
        <v>36.735354278503017</v>
      </c>
      <c r="GE295" s="775">
        <f t="shared" si="467"/>
        <v>16.697888308410462</v>
      </c>
      <c r="GF295" s="775">
        <f t="shared" si="468"/>
        <v>48.717365765721233</v>
      </c>
      <c r="GG295" s="775">
        <f t="shared" si="469"/>
        <v>41.999738927670712</v>
      </c>
    </row>
    <row r="296" spans="70:189">
      <c r="BR296" s="775"/>
      <c r="BS296" s="775"/>
      <c r="BT296" s="775"/>
      <c r="BU296" s="775"/>
      <c r="BV296" s="775"/>
      <c r="BW296" s="775"/>
      <c r="BX296" s="775"/>
      <c r="BY296" s="775" t="b">
        <f t="shared" si="470"/>
        <v>0</v>
      </c>
      <c r="BZ296" s="775">
        <f t="shared" si="397"/>
        <v>13.730592993821936</v>
      </c>
      <c r="CA296" s="775">
        <v>36</v>
      </c>
      <c r="CB296" s="775">
        <f t="shared" si="478"/>
        <v>18</v>
      </c>
      <c r="CC296" s="673">
        <f t="shared" si="398"/>
        <v>4.2694070061780636</v>
      </c>
      <c r="CD296" s="91">
        <f t="shared" si="396"/>
        <v>2</v>
      </c>
      <c r="CE296" s="775" t="b">
        <f t="shared" si="399"/>
        <v>0</v>
      </c>
      <c r="CF296" s="673"/>
      <c r="CG296" s="775">
        <f t="shared" si="400"/>
        <v>4.2694070061780636</v>
      </c>
      <c r="CH296" s="775">
        <f t="shared" si="401"/>
        <v>7.0755506206453683E-2</v>
      </c>
      <c r="CI296" s="775">
        <f t="shared" si="402"/>
        <v>4.7324077975237321E-3</v>
      </c>
      <c r="CJ296" s="775">
        <f t="shared" si="403"/>
        <v>4.9763005227981907</v>
      </c>
      <c r="CK296" s="775">
        <f t="shared" si="404"/>
        <v>2.5322067343312322</v>
      </c>
      <c r="CL296" s="775">
        <f t="shared" si="405"/>
        <v>3.8778404373548834</v>
      </c>
      <c r="CM296" s="775">
        <f t="shared" si="406"/>
        <v>7.6253442577692381</v>
      </c>
      <c r="CN296" s="775">
        <f t="shared" si="407"/>
        <v>2.2700294796252916</v>
      </c>
      <c r="CO296" s="775">
        <f t="shared" si="408"/>
        <v>3.2376995109596223</v>
      </c>
      <c r="CP296" s="775">
        <f t="shared" si="409"/>
        <v>88.444382758067107</v>
      </c>
      <c r="CQ296" s="775">
        <f t="shared" si="410"/>
        <v>14.337411720475373</v>
      </c>
      <c r="CR296" s="775">
        <f t="shared" si="471"/>
        <v>16.043981039265848</v>
      </c>
      <c r="CS296" s="775">
        <f t="shared" si="411"/>
        <v>7.2927186542117486</v>
      </c>
      <c r="CT296" s="775">
        <f t="shared" si="412"/>
        <v>4.2694070061780636</v>
      </c>
      <c r="CU296" s="775">
        <f t="shared" si="413"/>
        <v>3.3962094104152118</v>
      </c>
      <c r="CV296" s="775"/>
      <c r="CW296" s="775"/>
      <c r="CX296" s="775"/>
      <c r="CY296" s="775"/>
      <c r="CZ296" s="775"/>
      <c r="DA296" s="775"/>
      <c r="DB296" s="775"/>
      <c r="DC296" s="775"/>
      <c r="DD296" s="775" t="b">
        <f t="shared" si="472"/>
        <v>0</v>
      </c>
      <c r="DE296" s="775">
        <f t="shared" si="414"/>
        <v>11.714164520779384</v>
      </c>
      <c r="DF296" s="775">
        <v>36</v>
      </c>
      <c r="DG296" s="775">
        <f t="shared" si="473"/>
        <v>32</v>
      </c>
      <c r="DH296" s="673">
        <f t="shared" si="415"/>
        <v>43.714164520779384</v>
      </c>
      <c r="DI296" s="673">
        <f t="shared" si="416"/>
        <v>26</v>
      </c>
      <c r="DJ296" s="775" t="b">
        <f t="shared" si="417"/>
        <v>0</v>
      </c>
      <c r="DK296" s="673"/>
      <c r="DL296" s="775">
        <f t="shared" si="418"/>
        <v>43.714164520779384</v>
      </c>
      <c r="DM296" s="775">
        <f t="shared" si="419"/>
        <v>5.5745791939452796E-2</v>
      </c>
      <c r="DN296" s="775">
        <f t="shared" si="420"/>
        <v>2.7379114469555533E-3</v>
      </c>
      <c r="DO296" s="775">
        <f t="shared" si="421"/>
        <v>9.2560248940186121</v>
      </c>
      <c r="DP296" s="775">
        <f t="shared" si="422"/>
        <v>4.5984474896939709</v>
      </c>
      <c r="DQ296" s="775">
        <f t="shared" si="423"/>
        <v>53.5081980167529</v>
      </c>
      <c r="DR296" s="775">
        <f t="shared" si="424"/>
        <v>113.6628387929984</v>
      </c>
      <c r="DS296" s="775">
        <f t="shared" si="425"/>
        <v>32.258564168921133</v>
      </c>
      <c r="DT296" s="775">
        <f t="shared" si="426"/>
        <v>49.83119961516865</v>
      </c>
      <c r="DU296" s="775">
        <f t="shared" si="427"/>
        <v>78.267091882991721</v>
      </c>
      <c r="DV296" s="775">
        <f t="shared" si="428"/>
        <v>11.307982325628556</v>
      </c>
      <c r="DW296" s="775">
        <f t="shared" si="429"/>
        <v>20.363868921854682</v>
      </c>
      <c r="DX296" s="775">
        <f t="shared" si="430"/>
        <v>9.2563040553884903</v>
      </c>
      <c r="DY296" s="775">
        <f t="shared" si="431"/>
        <v>43.714164520779384</v>
      </c>
      <c r="DZ296" s="775">
        <f t="shared" si="432"/>
        <v>41.941820636249439</v>
      </c>
      <c r="EA296" s="775"/>
      <c r="EB296" s="775"/>
      <c r="EC296" s="775"/>
      <c r="ED296" s="775"/>
      <c r="EE296" s="775"/>
      <c r="EF296" s="775" t="b">
        <f t="shared" si="474"/>
        <v>0</v>
      </c>
      <c r="EG296" s="775">
        <f t="shared" si="433"/>
        <v>13.730592993821936</v>
      </c>
      <c r="EH296" s="775">
        <v>36</v>
      </c>
      <c r="EI296" s="775">
        <f t="shared" si="479"/>
        <v>18</v>
      </c>
      <c r="EJ296" s="673">
        <f t="shared" si="434"/>
        <v>4.2694070061780636</v>
      </c>
      <c r="EK296" s="673">
        <f t="shared" si="435"/>
        <v>2.2510196371999172</v>
      </c>
      <c r="EL296" s="775" t="b">
        <f t="shared" si="436"/>
        <v>0</v>
      </c>
      <c r="EM296" s="673"/>
      <c r="EN296" s="775">
        <f t="shared" si="437"/>
        <v>4.2694070061780636</v>
      </c>
      <c r="EO296" s="775">
        <f t="shared" si="438"/>
        <v>7.0755506206453683E-2</v>
      </c>
      <c r="EP296" s="775">
        <f t="shared" si="439"/>
        <v>4.7324077975237321E-3</v>
      </c>
      <c r="EQ296" s="775">
        <f t="shared" si="440"/>
        <v>4.9763005227981907</v>
      </c>
      <c r="ER296" s="775">
        <f t="shared" si="441"/>
        <v>2.5322067343312322</v>
      </c>
      <c r="ES296" s="775">
        <f t="shared" si="442"/>
        <v>3.8778404373548834</v>
      </c>
      <c r="ET296" s="775">
        <f t="shared" si="443"/>
        <v>7.6253442577692381</v>
      </c>
      <c r="EU296" s="775">
        <f t="shared" si="444"/>
        <v>2.2700294796252916</v>
      </c>
      <c r="EV296" s="775">
        <f t="shared" si="445"/>
        <v>3.2376995109596223</v>
      </c>
      <c r="EW296" s="775">
        <f t="shared" si="446"/>
        <v>88.444382758067107</v>
      </c>
      <c r="EX296" s="775">
        <f t="shared" si="447"/>
        <v>14.337411720475373</v>
      </c>
      <c r="EY296" s="775">
        <f t="shared" si="475"/>
        <v>16.043981039265848</v>
      </c>
      <c r="EZ296" s="775">
        <f t="shared" si="448"/>
        <v>7.2927186542117486</v>
      </c>
      <c r="FA296" s="775">
        <f t="shared" si="449"/>
        <v>4.2694070061780636</v>
      </c>
      <c r="FB296" s="775">
        <f t="shared" si="450"/>
        <v>3.3962094104152118</v>
      </c>
      <c r="FC296" s="775"/>
      <c r="FD296" s="775"/>
      <c r="FE296" s="775"/>
      <c r="FF296" s="775"/>
      <c r="FG296" s="775"/>
      <c r="FH296" s="775"/>
      <c r="FI296" s="775"/>
      <c r="FJ296" s="775"/>
      <c r="FK296" s="775" t="b">
        <f t="shared" si="476"/>
        <v>0</v>
      </c>
      <c r="FL296" s="775">
        <f t="shared" si="451"/>
        <v>9.9418206362494388</v>
      </c>
      <c r="FM296" s="775">
        <v>36</v>
      </c>
      <c r="FN296" s="775">
        <f t="shared" si="477"/>
        <v>32</v>
      </c>
      <c r="FO296" s="673">
        <f>FS296</f>
        <v>41.941820636249439</v>
      </c>
      <c r="FP296" s="673">
        <f t="shared" si="453"/>
        <v>31.576723317281619</v>
      </c>
      <c r="FQ296" s="775" t="b">
        <f t="shared" si="454"/>
        <v>0</v>
      </c>
      <c r="FR296" s="673"/>
      <c r="FS296" s="775">
        <f t="shared" si="455"/>
        <v>41.941820636249439</v>
      </c>
      <c r="FT296" s="775">
        <f t="shared" si="456"/>
        <v>5.5745791939452796E-2</v>
      </c>
      <c r="FU296" s="775">
        <f t="shared" si="457"/>
        <v>2.7379114469555533E-3</v>
      </c>
      <c r="FV296" s="775">
        <f t="shared" si="458"/>
        <v>9.2560248940186121</v>
      </c>
      <c r="FW296" s="775">
        <f t="shared" si="459"/>
        <v>4.5984474896939709</v>
      </c>
      <c r="FX296" s="775">
        <f t="shared" si="460"/>
        <v>64.985137076204737</v>
      </c>
      <c r="FY296" s="775">
        <f t="shared" si="461"/>
        <v>138.0423081547421</v>
      </c>
      <c r="FZ296" s="775">
        <f t="shared" si="462"/>
        <v>32.258564168921133</v>
      </c>
      <c r="GA296" s="775">
        <f t="shared" si="463"/>
        <v>49.83119961516865</v>
      </c>
      <c r="GB296" s="775">
        <f t="shared" si="464"/>
        <v>78.267091882991721</v>
      </c>
      <c r="GC296" s="775">
        <f t="shared" si="465"/>
        <v>11.307982325628556</v>
      </c>
      <c r="GD296" s="775">
        <f t="shared" si="466"/>
        <v>36.121439189621441</v>
      </c>
      <c r="GE296" s="775">
        <f t="shared" si="467"/>
        <v>16.418835995282471</v>
      </c>
      <c r="GF296" s="775">
        <f t="shared" si="468"/>
        <v>48.610710388378585</v>
      </c>
      <c r="GG296" s="775">
        <f t="shared" si="469"/>
        <v>41.941820636249439</v>
      </c>
    </row>
    <row r="297" spans="70:189">
      <c r="BR297" s="775"/>
      <c r="BS297" s="775"/>
      <c r="BT297" s="775"/>
      <c r="BU297" s="775"/>
      <c r="BV297" s="775"/>
      <c r="BW297" s="775"/>
      <c r="BX297" s="775"/>
      <c r="BY297" s="775" t="b">
        <f t="shared" si="470"/>
        <v>0</v>
      </c>
      <c r="BZ297" s="775">
        <f t="shared" si="397"/>
        <v>14.195300514173214</v>
      </c>
      <c r="CA297" s="775">
        <v>37</v>
      </c>
      <c r="CB297" s="775">
        <f t="shared" si="478"/>
        <v>18.5</v>
      </c>
      <c r="CC297" s="673">
        <f t="shared" si="398"/>
        <v>4.3046994858267862</v>
      </c>
      <c r="CD297" s="91">
        <f t="shared" si="396"/>
        <v>2</v>
      </c>
      <c r="CE297" s="775" t="b">
        <f t="shared" si="399"/>
        <v>0</v>
      </c>
      <c r="CF297" s="673"/>
      <c r="CG297" s="775">
        <f t="shared" si="400"/>
        <v>4.3046994858267862</v>
      </c>
      <c r="CH297" s="775">
        <f t="shared" si="401"/>
        <v>6.8880930224540143E-2</v>
      </c>
      <c r="CI297" s="775">
        <f t="shared" si="402"/>
        <v>4.6070287497366469E-3</v>
      </c>
      <c r="CJ297" s="775">
        <f t="shared" si="403"/>
        <v>4.9906520495391034</v>
      </c>
      <c r="CK297" s="775">
        <f t="shared" si="404"/>
        <v>2.5358693588676027</v>
      </c>
      <c r="CL297" s="775">
        <f t="shared" si="405"/>
        <v>3.9039589711160958</v>
      </c>
      <c r="CM297" s="775">
        <f t="shared" si="406"/>
        <v>7.6767034652082282</v>
      </c>
      <c r="CN297" s="775">
        <f t="shared" si="407"/>
        <v>2.2781788942602565</v>
      </c>
      <c r="CO297" s="775">
        <f t="shared" si="408"/>
        <v>3.248972988058771</v>
      </c>
      <c r="CP297" s="775">
        <f t="shared" si="409"/>
        <v>86.101162780675182</v>
      </c>
      <c r="CQ297" s="775">
        <f t="shared" si="410"/>
        <v>13.957560467972321</v>
      </c>
      <c r="CR297" s="775">
        <f t="shared" si="471"/>
        <v>16.480613666212705</v>
      </c>
      <c r="CS297" s="775">
        <f t="shared" si="411"/>
        <v>7.4911880300966835</v>
      </c>
      <c r="CT297" s="775">
        <f t="shared" si="412"/>
        <v>4.3046994858267862</v>
      </c>
      <c r="CU297" s="775">
        <f t="shared" si="413"/>
        <v>3.411725007208708</v>
      </c>
      <c r="CV297" s="775"/>
      <c r="CW297" s="775"/>
      <c r="CX297" s="775"/>
      <c r="CY297" s="775"/>
      <c r="CZ297" s="775"/>
      <c r="DA297" s="775"/>
      <c r="DB297" s="775"/>
      <c r="DC297" s="775"/>
      <c r="DD297" s="775" t="b">
        <f t="shared" si="472"/>
        <v>0</v>
      </c>
      <c r="DE297" s="775">
        <f t="shared" si="414"/>
        <v>12.107182429181215</v>
      </c>
      <c r="DF297" s="775">
        <v>37</v>
      </c>
      <c r="DG297" s="775">
        <f t="shared" si="473"/>
        <v>31.5</v>
      </c>
      <c r="DH297" s="673">
        <f t="shared" si="415"/>
        <v>43.607182429181215</v>
      </c>
      <c r="DI297" s="673">
        <f t="shared" si="416"/>
        <v>26</v>
      </c>
      <c r="DJ297" s="775" t="b">
        <f t="shared" si="417"/>
        <v>0</v>
      </c>
      <c r="DK297" s="673"/>
      <c r="DL297" s="775">
        <f t="shared" si="418"/>
        <v>43.607182429181215</v>
      </c>
      <c r="DM297" s="775">
        <f t="shared" si="419"/>
        <v>5.6708289004762463E-2</v>
      </c>
      <c r="DN297" s="775">
        <f t="shared" si="420"/>
        <v>2.7851837457442165E-3</v>
      </c>
      <c r="DO297" s="775">
        <f t="shared" si="421"/>
        <v>9.2452231500953204</v>
      </c>
      <c r="DP297" s="775">
        <f t="shared" si="422"/>
        <v>4.595826966287115</v>
      </c>
      <c r="DQ297" s="775">
        <f t="shared" si="423"/>
        <v>53.279692782151166</v>
      </c>
      <c r="DR297" s="775">
        <f t="shared" si="424"/>
        <v>113.17744487941977</v>
      </c>
      <c r="DS297" s="775">
        <f t="shared" si="425"/>
        <v>32.1752988898319</v>
      </c>
      <c r="DT297" s="775">
        <f t="shared" si="426"/>
        <v>49.712989215354163</v>
      </c>
      <c r="DU297" s="775">
        <f t="shared" si="427"/>
        <v>79.618437762686497</v>
      </c>
      <c r="DV297" s="775">
        <f t="shared" si="428"/>
        <v>11.503223964940316</v>
      </c>
      <c r="DW297" s="775">
        <f t="shared" si="429"/>
        <v>20.018237543803586</v>
      </c>
      <c r="DX297" s="775">
        <f t="shared" si="430"/>
        <v>9.0991988835470838</v>
      </c>
      <c r="DY297" s="775">
        <f t="shared" si="431"/>
        <v>43.607182429181215</v>
      </c>
      <c r="DZ297" s="775">
        <f t="shared" si="432"/>
        <v>41.88298853053449</v>
      </c>
      <c r="EA297" s="775"/>
      <c r="EB297" s="775"/>
      <c r="EC297" s="775"/>
      <c r="ED297" s="775"/>
      <c r="EE297" s="775"/>
      <c r="EF297" s="775" t="b">
        <f t="shared" si="474"/>
        <v>0</v>
      </c>
      <c r="EG297" s="775">
        <f t="shared" si="433"/>
        <v>14.195300514173214</v>
      </c>
      <c r="EH297" s="775">
        <v>37</v>
      </c>
      <c r="EI297" s="775">
        <f t="shared" si="479"/>
        <v>18.5</v>
      </c>
      <c r="EJ297" s="673">
        <f t="shared" si="434"/>
        <v>4.3046994858267862</v>
      </c>
      <c r="EK297" s="673">
        <f t="shared" si="435"/>
        <v>2.2510196371999172</v>
      </c>
      <c r="EL297" s="775" t="b">
        <f t="shared" si="436"/>
        <v>0</v>
      </c>
      <c r="EM297" s="673"/>
      <c r="EN297" s="775">
        <f t="shared" si="437"/>
        <v>4.3046994858267862</v>
      </c>
      <c r="EO297" s="775">
        <f t="shared" si="438"/>
        <v>6.8880930224540143E-2</v>
      </c>
      <c r="EP297" s="775">
        <f t="shared" si="439"/>
        <v>4.6070287497366469E-3</v>
      </c>
      <c r="EQ297" s="775">
        <f t="shared" si="440"/>
        <v>4.9906520495391034</v>
      </c>
      <c r="ER297" s="775">
        <f t="shared" si="441"/>
        <v>2.5358693588676027</v>
      </c>
      <c r="ES297" s="775">
        <f t="shared" si="442"/>
        <v>3.9039589711160958</v>
      </c>
      <c r="ET297" s="775">
        <f t="shared" si="443"/>
        <v>7.6767034652082282</v>
      </c>
      <c r="EU297" s="775">
        <f t="shared" si="444"/>
        <v>2.2781788942602565</v>
      </c>
      <c r="EV297" s="775">
        <f t="shared" si="445"/>
        <v>3.248972988058771</v>
      </c>
      <c r="EW297" s="775">
        <f t="shared" si="446"/>
        <v>86.101162780675182</v>
      </c>
      <c r="EX297" s="775">
        <f t="shared" si="447"/>
        <v>13.957560467972321</v>
      </c>
      <c r="EY297" s="775">
        <f t="shared" si="475"/>
        <v>16.480613666212705</v>
      </c>
      <c r="EZ297" s="775">
        <f t="shared" si="448"/>
        <v>7.4911880300966835</v>
      </c>
      <c r="FA297" s="775">
        <f t="shared" si="449"/>
        <v>4.3046994858267862</v>
      </c>
      <c r="FB297" s="775">
        <f t="shared" si="450"/>
        <v>3.411725007208708</v>
      </c>
      <c r="FC297" s="775"/>
      <c r="FD297" s="775"/>
      <c r="FE297" s="775"/>
      <c r="FF297" s="775"/>
      <c r="FG297" s="775"/>
      <c r="FH297" s="775"/>
      <c r="FI297" s="775"/>
      <c r="FJ297" s="775"/>
      <c r="FK297" s="775" t="b">
        <f t="shared" si="476"/>
        <v>0</v>
      </c>
      <c r="FL297" s="775">
        <f t="shared" si="451"/>
        <v>10.38298853053449</v>
      </c>
      <c r="FM297" s="775">
        <v>37</v>
      </c>
      <c r="FN297" s="775">
        <f t="shared" si="477"/>
        <v>31.5</v>
      </c>
      <c r="FO297" s="673">
        <f t="shared" ref="FO297:FO360" si="480">FS297</f>
        <v>41.88298853053449</v>
      </c>
      <c r="FP297" s="673">
        <f t="shared" si="453"/>
        <v>31.576723317281619</v>
      </c>
      <c r="FQ297" s="775" t="b">
        <f t="shared" si="454"/>
        <v>1</v>
      </c>
      <c r="FR297" s="673"/>
      <c r="FS297" s="775">
        <f t="shared" si="455"/>
        <v>41.88298853053449</v>
      </c>
      <c r="FT297" s="775">
        <f t="shared" si="456"/>
        <v>5.6708289004762463E-2</v>
      </c>
      <c r="FU297" s="775">
        <f t="shared" si="457"/>
        <v>2.7851837457442165E-3</v>
      </c>
      <c r="FV297" s="775">
        <f t="shared" si="458"/>
        <v>9.2452231500953204</v>
      </c>
      <c r="FW297" s="775">
        <f t="shared" si="459"/>
        <v>4.595826966287115</v>
      </c>
      <c r="FX297" s="775">
        <f t="shared" si="460"/>
        <v>64.707619900452073</v>
      </c>
      <c r="FY297" s="775">
        <f t="shared" si="461"/>
        <v>137.4528024120896</v>
      </c>
      <c r="FZ297" s="775">
        <f t="shared" si="462"/>
        <v>32.1752988898319</v>
      </c>
      <c r="GA297" s="775">
        <f t="shared" si="463"/>
        <v>49.712989215354163</v>
      </c>
      <c r="GB297" s="775">
        <f t="shared" si="464"/>
        <v>79.618437762686497</v>
      </c>
      <c r="GC297" s="775">
        <f t="shared" si="465"/>
        <v>11.503223964940316</v>
      </c>
      <c r="GD297" s="775">
        <f t="shared" si="466"/>
        <v>35.508358107033104</v>
      </c>
      <c r="GE297" s="775">
        <f t="shared" si="467"/>
        <v>16.140162775924136</v>
      </c>
      <c r="GF297" s="775">
        <f t="shared" si="468"/>
        <v>48.50238215975051</v>
      </c>
      <c r="GG297" s="775">
        <f t="shared" si="469"/>
        <v>41.88298853053449</v>
      </c>
    </row>
    <row r="298" spans="70:189">
      <c r="BR298" s="775"/>
      <c r="BS298" s="775"/>
      <c r="BT298" s="775"/>
      <c r="BU298" s="775"/>
      <c r="BV298" s="775"/>
      <c r="BW298" s="775"/>
      <c r="BX298" s="775"/>
      <c r="BY298" s="775" t="b">
        <f t="shared" si="470"/>
        <v>0</v>
      </c>
      <c r="BZ298" s="775">
        <f t="shared" si="397"/>
        <v>14.660746242248557</v>
      </c>
      <c r="CA298" s="775">
        <v>38</v>
      </c>
      <c r="CB298" s="775">
        <f t="shared" si="478"/>
        <v>19</v>
      </c>
      <c r="CC298" s="673">
        <f t="shared" si="398"/>
        <v>4.3392537577514441</v>
      </c>
      <c r="CD298" s="91">
        <f t="shared" si="396"/>
        <v>2</v>
      </c>
      <c r="CE298" s="775" t="b">
        <f t="shared" si="399"/>
        <v>0</v>
      </c>
      <c r="CF298" s="673"/>
      <c r="CG298" s="775">
        <f t="shared" si="400"/>
        <v>4.3392537577514441</v>
      </c>
      <c r="CH298" s="775">
        <f t="shared" si="401"/>
        <v>6.7104055573562166E-2</v>
      </c>
      <c r="CI298" s="775">
        <f t="shared" si="402"/>
        <v>4.4881843529631354E-3</v>
      </c>
      <c r="CJ298" s="775">
        <f t="shared" si="403"/>
        <v>5.0043553719282103</v>
      </c>
      <c r="CK298" s="775">
        <f t="shared" si="404"/>
        <v>2.5393558033222523</v>
      </c>
      <c r="CL298" s="775">
        <f t="shared" si="405"/>
        <v>3.9295498588298035</v>
      </c>
      <c r="CM298" s="775">
        <f t="shared" si="406"/>
        <v>7.7270251150624052</v>
      </c>
      <c r="CN298" s="775">
        <f t="shared" si="407"/>
        <v>2.2861359477078054</v>
      </c>
      <c r="CO298" s="775">
        <f t="shared" si="408"/>
        <v>3.259981084093972</v>
      </c>
      <c r="CP298" s="775">
        <f t="shared" si="409"/>
        <v>83.880069466952705</v>
      </c>
      <c r="CQ298" s="775">
        <f t="shared" si="410"/>
        <v>13.597506744769312</v>
      </c>
      <c r="CR298" s="775">
        <f t="shared" si="471"/>
        <v>16.917010310286656</v>
      </c>
      <c r="CS298" s="775">
        <f t="shared" si="411"/>
        <v>7.6895501410393887</v>
      </c>
      <c r="CT298" s="775">
        <f t="shared" si="412"/>
        <v>4.3392537577514441</v>
      </c>
      <c r="CU298" s="775">
        <f t="shared" si="413"/>
        <v>3.4268705535748354</v>
      </c>
      <c r="CV298" s="775"/>
      <c r="CW298" s="775"/>
      <c r="CX298" s="775"/>
      <c r="CY298" s="775"/>
      <c r="CZ298" s="775"/>
      <c r="DA298" s="775"/>
      <c r="DB298" s="775"/>
      <c r="DC298" s="775"/>
      <c r="DD298" s="775" t="b">
        <f t="shared" si="472"/>
        <v>0</v>
      </c>
      <c r="DE298" s="775">
        <f t="shared" si="414"/>
        <v>12.498541830882644</v>
      </c>
      <c r="DF298" s="775">
        <v>38</v>
      </c>
      <c r="DG298" s="775">
        <f t="shared" si="473"/>
        <v>31</v>
      </c>
      <c r="DH298" s="673">
        <f t="shared" si="415"/>
        <v>43.498541830882644</v>
      </c>
      <c r="DI298" s="673">
        <f t="shared" si="416"/>
        <v>26</v>
      </c>
      <c r="DJ298" s="775" t="b">
        <f t="shared" si="417"/>
        <v>0</v>
      </c>
      <c r="DK298" s="673"/>
      <c r="DL298" s="775">
        <f t="shared" si="418"/>
        <v>43.498541830882644</v>
      </c>
      <c r="DM298" s="775">
        <f t="shared" si="419"/>
        <v>5.770320752474771E-2</v>
      </c>
      <c r="DN298" s="775">
        <f t="shared" si="420"/>
        <v>2.8340483991984955E-3</v>
      </c>
      <c r="DO298" s="775">
        <f t="shared" si="421"/>
        <v>9.2340919353813593</v>
      </c>
      <c r="DP298" s="775">
        <f t="shared" si="422"/>
        <v>4.5931228747342283</v>
      </c>
      <c r="DQ298" s="775">
        <f t="shared" si="423"/>
        <v>53.048530657037858</v>
      </c>
      <c r="DR298" s="775">
        <f t="shared" si="424"/>
        <v>112.68640716303889</v>
      </c>
      <c r="DS298" s="775">
        <f t="shared" si="425"/>
        <v>32.090871803502324</v>
      </c>
      <c r="DT298" s="775">
        <f t="shared" si="426"/>
        <v>49.593128967047903</v>
      </c>
      <c r="DU298" s="775">
        <f t="shared" si="427"/>
        <v>81.01530336474579</v>
      </c>
      <c r="DV298" s="775">
        <f t="shared" si="428"/>
        <v>11.705042266340596</v>
      </c>
      <c r="DW298" s="775">
        <f t="shared" si="429"/>
        <v>19.673083155960374</v>
      </c>
      <c r="DX298" s="775">
        <f t="shared" si="430"/>
        <v>8.9423105254365325</v>
      </c>
      <c r="DY298" s="775">
        <f t="shared" si="431"/>
        <v>43.498541830882644</v>
      </c>
      <c r="DZ298" s="775">
        <f t="shared" si="432"/>
        <v>41.823213446417981</v>
      </c>
      <c r="EA298" s="775"/>
      <c r="EB298" s="775"/>
      <c r="EC298" s="775"/>
      <c r="ED298" s="775"/>
      <c r="EE298" s="775"/>
      <c r="EF298" s="775" t="b">
        <f t="shared" si="474"/>
        <v>0</v>
      </c>
      <c r="EG298" s="775">
        <f t="shared" si="433"/>
        <v>14.660746242248557</v>
      </c>
      <c r="EH298" s="775">
        <v>38</v>
      </c>
      <c r="EI298" s="775">
        <f t="shared" si="479"/>
        <v>19</v>
      </c>
      <c r="EJ298" s="673">
        <f t="shared" si="434"/>
        <v>4.3392537577514441</v>
      </c>
      <c r="EK298" s="673">
        <f t="shared" si="435"/>
        <v>2.2510196371999172</v>
      </c>
      <c r="EL298" s="775" t="b">
        <f t="shared" si="436"/>
        <v>0</v>
      </c>
      <c r="EM298" s="673"/>
      <c r="EN298" s="775">
        <f t="shared" si="437"/>
        <v>4.3392537577514441</v>
      </c>
      <c r="EO298" s="775">
        <f t="shared" si="438"/>
        <v>6.7104055573562166E-2</v>
      </c>
      <c r="EP298" s="775">
        <f t="shared" si="439"/>
        <v>4.4881843529631354E-3</v>
      </c>
      <c r="EQ298" s="775">
        <f t="shared" si="440"/>
        <v>5.0043553719282103</v>
      </c>
      <c r="ER298" s="775">
        <f t="shared" si="441"/>
        <v>2.5393558033222523</v>
      </c>
      <c r="ES298" s="775">
        <f t="shared" si="442"/>
        <v>3.9295498588298035</v>
      </c>
      <c r="ET298" s="775">
        <f t="shared" si="443"/>
        <v>7.7270251150624052</v>
      </c>
      <c r="EU298" s="775">
        <f t="shared" si="444"/>
        <v>2.2861359477078054</v>
      </c>
      <c r="EV298" s="775">
        <f t="shared" si="445"/>
        <v>3.259981084093972</v>
      </c>
      <c r="EW298" s="775">
        <f t="shared" si="446"/>
        <v>83.880069466952705</v>
      </c>
      <c r="EX298" s="775">
        <f t="shared" si="447"/>
        <v>13.597506744769312</v>
      </c>
      <c r="EY298" s="775">
        <f t="shared" si="475"/>
        <v>16.917010310286656</v>
      </c>
      <c r="EZ298" s="775">
        <f t="shared" si="448"/>
        <v>7.6895501410393887</v>
      </c>
      <c r="FA298" s="775">
        <f t="shared" si="449"/>
        <v>4.3392537577514441</v>
      </c>
      <c r="FB298" s="775">
        <f t="shared" si="450"/>
        <v>3.4268705535748354</v>
      </c>
      <c r="FC298" s="775"/>
      <c r="FD298" s="775"/>
      <c r="FE298" s="775"/>
      <c r="FF298" s="775"/>
      <c r="FG298" s="775"/>
      <c r="FH298" s="775"/>
      <c r="FI298" s="775"/>
      <c r="FJ298" s="775"/>
      <c r="FK298" s="775" t="b">
        <f t="shared" si="476"/>
        <v>0</v>
      </c>
      <c r="FL298" s="775">
        <f t="shared" si="451"/>
        <v>10.823213446417981</v>
      </c>
      <c r="FM298" s="775">
        <v>38</v>
      </c>
      <c r="FN298" s="775">
        <f t="shared" si="477"/>
        <v>31</v>
      </c>
      <c r="FO298" s="673">
        <f t="shared" si="480"/>
        <v>41.823213446417981</v>
      </c>
      <c r="FP298" s="673">
        <f t="shared" si="453"/>
        <v>31.576723317281619</v>
      </c>
      <c r="FQ298" s="775" t="b">
        <f t="shared" si="454"/>
        <v>1</v>
      </c>
      <c r="FR298" s="673"/>
      <c r="FS298" s="775">
        <f t="shared" si="455"/>
        <v>41.823213446417981</v>
      </c>
      <c r="FT298" s="775">
        <f t="shared" si="456"/>
        <v>5.770320752474771E-2</v>
      </c>
      <c r="FU298" s="775">
        <f t="shared" si="457"/>
        <v>2.8340483991984955E-3</v>
      </c>
      <c r="FV298" s="775">
        <f t="shared" si="458"/>
        <v>9.2340919353813593</v>
      </c>
      <c r="FW298" s="775">
        <f t="shared" si="459"/>
        <v>4.5931228747342283</v>
      </c>
      <c r="FX298" s="775">
        <f t="shared" si="460"/>
        <v>64.426875959446775</v>
      </c>
      <c r="FY298" s="775">
        <f t="shared" si="461"/>
        <v>136.8564423309931</v>
      </c>
      <c r="FZ298" s="775">
        <f t="shared" si="462"/>
        <v>32.090871803502324</v>
      </c>
      <c r="GA298" s="775">
        <f t="shared" si="463"/>
        <v>49.593128967047903</v>
      </c>
      <c r="GB298" s="775">
        <f t="shared" si="464"/>
        <v>81.01530336474579</v>
      </c>
      <c r="GC298" s="775">
        <f t="shared" si="465"/>
        <v>11.705042266340596</v>
      </c>
      <c r="GD298" s="775">
        <f t="shared" si="466"/>
        <v>34.896123109874509</v>
      </c>
      <c r="GE298" s="775">
        <f t="shared" si="467"/>
        <v>15.861874140852048</v>
      </c>
      <c r="GF298" s="775">
        <f t="shared" si="468"/>
        <v>48.392328670730585</v>
      </c>
      <c r="GG298" s="775">
        <f t="shared" si="469"/>
        <v>41.823213446417981</v>
      </c>
    </row>
    <row r="299" spans="70:189">
      <c r="BR299" s="775"/>
      <c r="BS299" s="775"/>
      <c r="BT299" s="775"/>
      <c r="BU299" s="775"/>
      <c r="BV299" s="775"/>
      <c r="BW299" s="775"/>
      <c r="BX299" s="775"/>
      <c r="BY299" s="775" t="b">
        <f t="shared" si="470"/>
        <v>0</v>
      </c>
      <c r="BZ299" s="775">
        <f t="shared" si="397"/>
        <v>15.126896054853782</v>
      </c>
      <c r="CA299" s="775">
        <v>39</v>
      </c>
      <c r="CB299" s="775">
        <f t="shared" si="478"/>
        <v>19.5</v>
      </c>
      <c r="CC299" s="673">
        <f t="shared" si="398"/>
        <v>4.3731039451462177</v>
      </c>
      <c r="CD299" s="91">
        <f t="shared" si="396"/>
        <v>2</v>
      </c>
      <c r="CE299" s="775" t="b">
        <f t="shared" si="399"/>
        <v>0</v>
      </c>
      <c r="CF299" s="673"/>
      <c r="CG299" s="775">
        <f t="shared" si="400"/>
        <v>4.3731039451462177</v>
      </c>
      <c r="CH299" s="775">
        <f t="shared" si="401"/>
        <v>6.5417414921183845E-2</v>
      </c>
      <c r="CI299" s="775">
        <f t="shared" si="402"/>
        <v>4.375375162514468E-3</v>
      </c>
      <c r="CJ299" s="775">
        <f t="shared" si="403"/>
        <v>5.0174536911961773</v>
      </c>
      <c r="CK299" s="775">
        <f t="shared" si="404"/>
        <v>2.5426785360064468</v>
      </c>
      <c r="CL299" s="775">
        <f t="shared" si="405"/>
        <v>3.9546372345029304</v>
      </c>
      <c r="CM299" s="775">
        <f t="shared" si="406"/>
        <v>7.7763566641867081</v>
      </c>
      <c r="CN299" s="775">
        <f t="shared" si="407"/>
        <v>2.2939100728132735</v>
      </c>
      <c r="CO299" s="775">
        <f t="shared" si="408"/>
        <v>3.2707367946725241</v>
      </c>
      <c r="CP299" s="775">
        <f t="shared" si="409"/>
        <v>81.771768651479803</v>
      </c>
      <c r="CQ299" s="775">
        <f t="shared" si="410"/>
        <v>13.255737421727801</v>
      </c>
      <c r="CR299" s="775">
        <f t="shared" si="471"/>
        <v>17.353177305580029</v>
      </c>
      <c r="CS299" s="775">
        <f t="shared" si="411"/>
        <v>7.8878078661727402</v>
      </c>
      <c r="CT299" s="775">
        <f t="shared" si="412"/>
        <v>4.3731039451462177</v>
      </c>
      <c r="CU299" s="775">
        <f t="shared" si="413"/>
        <v>3.4416642670961926</v>
      </c>
      <c r="CV299" s="775"/>
      <c r="CW299" s="775"/>
      <c r="CX299" s="775"/>
      <c r="CY299" s="775"/>
      <c r="CZ299" s="775"/>
      <c r="DA299" s="775"/>
      <c r="DB299" s="775"/>
      <c r="DC299" s="775"/>
      <c r="DD299" s="775" t="b">
        <f t="shared" si="472"/>
        <v>0</v>
      </c>
      <c r="DE299" s="775">
        <f t="shared" si="414"/>
        <v>12.888190671398547</v>
      </c>
      <c r="DF299" s="775">
        <v>39</v>
      </c>
      <c r="DG299" s="775">
        <f t="shared" si="473"/>
        <v>30.5</v>
      </c>
      <c r="DH299" s="673">
        <f t="shared" si="415"/>
        <v>43.388190671398547</v>
      </c>
      <c r="DI299" s="673">
        <f t="shared" si="416"/>
        <v>26</v>
      </c>
      <c r="DJ299" s="775" t="b">
        <f t="shared" si="417"/>
        <v>0</v>
      </c>
      <c r="DK299" s="673"/>
      <c r="DL299" s="775">
        <f t="shared" si="418"/>
        <v>43.388190671398547</v>
      </c>
      <c r="DM299" s="775">
        <f t="shared" si="419"/>
        <v>5.8732189395712016E-2</v>
      </c>
      <c r="DN299" s="775">
        <f t="shared" si="420"/>
        <v>2.8845860477851874E-3</v>
      </c>
      <c r="DO299" s="775">
        <f t="shared" si="421"/>
        <v>9.2226162000204219</v>
      </c>
      <c r="DP299" s="775">
        <f t="shared" si="422"/>
        <v>4.590331217267293</v>
      </c>
      <c r="DQ299" s="775">
        <f t="shared" si="423"/>
        <v>52.814637137469383</v>
      </c>
      <c r="DR299" s="775">
        <f t="shared" si="424"/>
        <v>112.18956738157001</v>
      </c>
      <c r="DS299" s="775">
        <f t="shared" si="425"/>
        <v>32.005247597609539</v>
      </c>
      <c r="DT299" s="775">
        <f t="shared" si="426"/>
        <v>49.471568640032466</v>
      </c>
      <c r="DU299" s="775">
        <f t="shared" si="427"/>
        <v>82.459993911579673</v>
      </c>
      <c r="DV299" s="775">
        <f t="shared" si="428"/>
        <v>11.913770286975668</v>
      </c>
      <c r="DW299" s="775">
        <f t="shared" si="429"/>
        <v>19.32841277806817</v>
      </c>
      <c r="DX299" s="775">
        <f t="shared" si="430"/>
        <v>8.7856421718491671</v>
      </c>
      <c r="DY299" s="775">
        <f t="shared" si="431"/>
        <v>43.388190671398547</v>
      </c>
      <c r="DZ299" s="775">
        <f t="shared" si="432"/>
        <v>41.762464801489905</v>
      </c>
      <c r="EA299" s="775"/>
      <c r="EB299" s="775"/>
      <c r="EC299" s="775"/>
      <c r="ED299" s="775"/>
      <c r="EE299" s="775"/>
      <c r="EF299" s="775" t="b">
        <f t="shared" si="474"/>
        <v>0</v>
      </c>
      <c r="EG299" s="775">
        <f t="shared" si="433"/>
        <v>15.126896054853782</v>
      </c>
      <c r="EH299" s="775">
        <v>39</v>
      </c>
      <c r="EI299" s="775">
        <f t="shared" si="479"/>
        <v>19.5</v>
      </c>
      <c r="EJ299" s="673">
        <f t="shared" si="434"/>
        <v>4.3731039451462177</v>
      </c>
      <c r="EK299" s="673">
        <f t="shared" si="435"/>
        <v>2.2510196371999172</v>
      </c>
      <c r="EL299" s="775" t="b">
        <f t="shared" si="436"/>
        <v>0</v>
      </c>
      <c r="EM299" s="673"/>
      <c r="EN299" s="775">
        <f t="shared" si="437"/>
        <v>4.3731039451462177</v>
      </c>
      <c r="EO299" s="775">
        <f t="shared" si="438"/>
        <v>6.5417414921183845E-2</v>
      </c>
      <c r="EP299" s="775">
        <f t="shared" si="439"/>
        <v>4.375375162514468E-3</v>
      </c>
      <c r="EQ299" s="775">
        <f t="shared" si="440"/>
        <v>5.0174536911961773</v>
      </c>
      <c r="ER299" s="775">
        <f t="shared" si="441"/>
        <v>2.5426785360064468</v>
      </c>
      <c r="ES299" s="775">
        <f t="shared" si="442"/>
        <v>3.9546372345029304</v>
      </c>
      <c r="ET299" s="775">
        <f t="shared" si="443"/>
        <v>7.7763566641867081</v>
      </c>
      <c r="EU299" s="775">
        <f t="shared" si="444"/>
        <v>2.2939100728132735</v>
      </c>
      <c r="EV299" s="775">
        <f t="shared" si="445"/>
        <v>3.2707367946725241</v>
      </c>
      <c r="EW299" s="775">
        <f t="shared" si="446"/>
        <v>81.771768651479803</v>
      </c>
      <c r="EX299" s="775">
        <f t="shared" si="447"/>
        <v>13.255737421727801</v>
      </c>
      <c r="EY299" s="775">
        <f t="shared" si="475"/>
        <v>17.353177305580029</v>
      </c>
      <c r="EZ299" s="775">
        <f t="shared" si="448"/>
        <v>7.8878078661727402</v>
      </c>
      <c r="FA299" s="775">
        <f t="shared" si="449"/>
        <v>4.3731039451462177</v>
      </c>
      <c r="FB299" s="775">
        <f t="shared" si="450"/>
        <v>3.4416642670961926</v>
      </c>
      <c r="FC299" s="775"/>
      <c r="FD299" s="775"/>
      <c r="FE299" s="775"/>
      <c r="FF299" s="775"/>
      <c r="FG299" s="775"/>
      <c r="FH299" s="775"/>
      <c r="FI299" s="775"/>
      <c r="FJ299" s="775"/>
      <c r="FK299" s="775" t="b">
        <f t="shared" si="476"/>
        <v>0</v>
      </c>
      <c r="FL299" s="775">
        <f t="shared" si="451"/>
        <v>11.262464801489905</v>
      </c>
      <c r="FM299" s="775">
        <v>39</v>
      </c>
      <c r="FN299" s="775">
        <f t="shared" si="477"/>
        <v>30.5</v>
      </c>
      <c r="FO299" s="673">
        <f t="shared" si="480"/>
        <v>41.762464801489905</v>
      </c>
      <c r="FP299" s="673">
        <f t="shared" si="453"/>
        <v>31.576723317281619</v>
      </c>
      <c r="FQ299" s="775" t="b">
        <f t="shared" si="454"/>
        <v>1</v>
      </c>
      <c r="FR299" s="673"/>
      <c r="FS299" s="775">
        <f t="shared" si="455"/>
        <v>41.762464801489905</v>
      </c>
      <c r="FT299" s="775">
        <f t="shared" si="456"/>
        <v>5.8732189395712016E-2</v>
      </c>
      <c r="FU299" s="775">
        <f t="shared" si="457"/>
        <v>2.8845860477851874E-3</v>
      </c>
      <c r="FV299" s="775">
        <f t="shared" si="458"/>
        <v>9.2226162000204219</v>
      </c>
      <c r="FW299" s="775">
        <f t="shared" si="459"/>
        <v>4.590331217267293</v>
      </c>
      <c r="FX299" s="775">
        <f t="shared" si="460"/>
        <v>64.142814768942202</v>
      </c>
      <c r="FY299" s="775">
        <f t="shared" si="461"/>
        <v>136.25303570359074</v>
      </c>
      <c r="FZ299" s="775">
        <f t="shared" si="462"/>
        <v>32.005247597609539</v>
      </c>
      <c r="GA299" s="775">
        <f t="shared" si="463"/>
        <v>49.471568640032466</v>
      </c>
      <c r="GB299" s="775">
        <f t="shared" si="464"/>
        <v>82.459993911579673</v>
      </c>
      <c r="GC299" s="775">
        <f t="shared" si="465"/>
        <v>11.913770286975668</v>
      </c>
      <c r="GD299" s="775">
        <f t="shared" si="466"/>
        <v>34.284746649768955</v>
      </c>
      <c r="GE299" s="775">
        <f t="shared" si="467"/>
        <v>15.583975749894979</v>
      </c>
      <c r="GF299" s="775">
        <f t="shared" si="468"/>
        <v>48.280495008821589</v>
      </c>
      <c r="GG299" s="775">
        <f t="shared" si="469"/>
        <v>41.762464801489905</v>
      </c>
    </row>
    <row r="300" spans="70:189">
      <c r="BR300" s="32"/>
      <c r="BS300" s="32"/>
      <c r="BT300" s="32"/>
      <c r="BU300" s="32"/>
      <c r="BV300" s="32"/>
      <c r="BW300" s="32"/>
      <c r="BX300" s="32"/>
      <c r="BY300" s="775" t="b">
        <f t="shared" si="470"/>
        <v>0</v>
      </c>
      <c r="BZ300" s="775">
        <f t="shared" si="397"/>
        <v>15.593718230627037</v>
      </c>
      <c r="CA300" s="775">
        <v>40</v>
      </c>
      <c r="CB300" s="775">
        <f t="shared" si="478"/>
        <v>20</v>
      </c>
      <c r="CC300" s="673">
        <f t="shared" si="398"/>
        <v>4.4062817693729626</v>
      </c>
      <c r="CD300" s="91">
        <f t="shared" si="396"/>
        <v>2</v>
      </c>
      <c r="CE300" s="775" t="b">
        <f t="shared" si="399"/>
        <v>0</v>
      </c>
      <c r="CF300" s="673"/>
      <c r="CG300" s="775">
        <f t="shared" si="400"/>
        <v>4.4062817693729626</v>
      </c>
      <c r="CH300" s="775">
        <f t="shared" si="401"/>
        <v>6.3814284124495788E-2</v>
      </c>
      <c r="CI300" s="775">
        <f t="shared" si="402"/>
        <v>4.2681514411469709E-3</v>
      </c>
      <c r="CJ300" s="775">
        <f t="shared" si="403"/>
        <v>5.0299864377091836</v>
      </c>
      <c r="CK300" s="775">
        <f t="shared" si="404"/>
        <v>2.5458488727903852</v>
      </c>
      <c r="CL300" s="775">
        <f t="shared" si="405"/>
        <v>3.9792435431952113</v>
      </c>
      <c r="CM300" s="775">
        <f t="shared" si="406"/>
        <v>7.8247422483082563</v>
      </c>
      <c r="CN300" s="775">
        <f t="shared" si="407"/>
        <v>2.3015100122352901</v>
      </c>
      <c r="CO300" s="775">
        <f t="shared" si="408"/>
        <v>3.2812521653955828</v>
      </c>
      <c r="CP300" s="775">
        <f t="shared" si="409"/>
        <v>79.767855155619728</v>
      </c>
      <c r="CQ300" s="775">
        <f t="shared" si="410"/>
        <v>12.930889964530271</v>
      </c>
      <c r="CR300" s="775">
        <f t="shared" si="471"/>
        <v>17.789120658085412</v>
      </c>
      <c r="CS300" s="775">
        <f t="shared" si="411"/>
        <v>8.0859639354933694</v>
      </c>
      <c r="CT300" s="775">
        <f t="shared" si="412"/>
        <v>4.4062817693729626</v>
      </c>
      <c r="CU300" s="775">
        <f t="shared" si="413"/>
        <v>3.4561230293141372</v>
      </c>
      <c r="CV300" s="32"/>
      <c r="CW300" s="32"/>
      <c r="CX300" s="32"/>
      <c r="CY300" s="32"/>
      <c r="CZ300" s="32"/>
      <c r="DA300" s="32"/>
      <c r="DB300" s="32"/>
      <c r="DC300" s="32"/>
      <c r="DD300" s="775" t="b">
        <f t="shared" si="472"/>
        <v>0</v>
      </c>
      <c r="DE300" s="775">
        <f t="shared" si="414"/>
        <v>13.276074392396175</v>
      </c>
      <c r="DF300" s="775">
        <v>40</v>
      </c>
      <c r="DG300" s="775">
        <f t="shared" si="473"/>
        <v>30</v>
      </c>
      <c r="DH300" s="673">
        <f t="shared" si="415"/>
        <v>43.276074392396175</v>
      </c>
      <c r="DI300" s="673">
        <f t="shared" si="416"/>
        <v>26</v>
      </c>
      <c r="DJ300" s="775" t="b">
        <f t="shared" si="417"/>
        <v>0</v>
      </c>
      <c r="DK300" s="673"/>
      <c r="DL300" s="775">
        <f t="shared" si="418"/>
        <v>43.276074392396175</v>
      </c>
      <c r="DM300" s="775">
        <f t="shared" si="419"/>
        <v>5.9796988434494519E-2</v>
      </c>
      <c r="DN300" s="775">
        <f t="shared" si="420"/>
        <v>2.9368828288616191E-3</v>
      </c>
      <c r="DO300" s="775">
        <f t="shared" si="421"/>
        <v>9.2107799718987238</v>
      </c>
      <c r="DP300" s="775">
        <f t="shared" si="422"/>
        <v>4.5874477391853983</v>
      </c>
      <c r="DQ300" s="775">
        <f t="shared" si="423"/>
        <v>52.577934366919948</v>
      </c>
      <c r="DR300" s="775">
        <f t="shared" si="424"/>
        <v>111.68676015112669</v>
      </c>
      <c r="DS300" s="775">
        <f t="shared" si="425"/>
        <v>31.918389286751832</v>
      </c>
      <c r="DT300" s="775">
        <f t="shared" si="426"/>
        <v>49.348255619846363</v>
      </c>
      <c r="DU300" s="775">
        <f t="shared" si="427"/>
        <v>83.954971762030311</v>
      </c>
      <c r="DV300" s="775">
        <f t="shared" si="428"/>
        <v>12.129763786968935</v>
      </c>
      <c r="DW300" s="775">
        <f t="shared" si="429"/>
        <v>18.98423364988642</v>
      </c>
      <c r="DX300" s="775">
        <f t="shared" si="430"/>
        <v>8.6291971135847358</v>
      </c>
      <c r="DY300" s="775">
        <f t="shared" si="431"/>
        <v>43.276074392396175</v>
      </c>
      <c r="DZ300" s="775">
        <f t="shared" si="432"/>
        <v>41.700710501542609</v>
      </c>
      <c r="EA300" s="32"/>
      <c r="EB300" s="32"/>
      <c r="EC300" s="32"/>
      <c r="ED300" s="32"/>
      <c r="EE300" s="32"/>
      <c r="EF300" s="775" t="b">
        <f t="shared" si="474"/>
        <v>0</v>
      </c>
      <c r="EG300" s="775">
        <f t="shared" si="433"/>
        <v>15.593718230627037</v>
      </c>
      <c r="EH300" s="775">
        <v>40</v>
      </c>
      <c r="EI300" s="775">
        <f t="shared" si="479"/>
        <v>20</v>
      </c>
      <c r="EJ300" s="673">
        <f t="shared" si="434"/>
        <v>4.4062817693729626</v>
      </c>
      <c r="EK300" s="673">
        <f t="shared" si="435"/>
        <v>2.2510196371999172</v>
      </c>
      <c r="EL300" s="775" t="b">
        <f t="shared" si="436"/>
        <v>0</v>
      </c>
      <c r="EM300" s="673"/>
      <c r="EN300" s="775">
        <f t="shared" si="437"/>
        <v>4.4062817693729626</v>
      </c>
      <c r="EO300" s="775">
        <f t="shared" si="438"/>
        <v>6.3814284124495788E-2</v>
      </c>
      <c r="EP300" s="775">
        <f t="shared" si="439"/>
        <v>4.2681514411469709E-3</v>
      </c>
      <c r="EQ300" s="775">
        <f t="shared" si="440"/>
        <v>5.0299864377091836</v>
      </c>
      <c r="ER300" s="775">
        <f t="shared" si="441"/>
        <v>2.5458488727903852</v>
      </c>
      <c r="ES300" s="775">
        <f t="shared" si="442"/>
        <v>3.9792435431952113</v>
      </c>
      <c r="ET300" s="775">
        <f t="shared" si="443"/>
        <v>7.8247422483082563</v>
      </c>
      <c r="EU300" s="775">
        <f t="shared" si="444"/>
        <v>2.3015100122352901</v>
      </c>
      <c r="EV300" s="775">
        <f t="shared" si="445"/>
        <v>3.2812521653955828</v>
      </c>
      <c r="EW300" s="775">
        <f t="shared" si="446"/>
        <v>79.767855155619728</v>
      </c>
      <c r="EX300" s="775">
        <f t="shared" si="447"/>
        <v>12.930889964530271</v>
      </c>
      <c r="EY300" s="775">
        <f t="shared" si="475"/>
        <v>17.789120658085412</v>
      </c>
      <c r="EZ300" s="775">
        <f t="shared" si="448"/>
        <v>8.0859639354933694</v>
      </c>
      <c r="FA300" s="775">
        <f t="shared" si="449"/>
        <v>4.4062817693729626</v>
      </c>
      <c r="FB300" s="775">
        <f t="shared" si="450"/>
        <v>3.4561230293141372</v>
      </c>
      <c r="FC300" s="32"/>
      <c r="FD300" s="32"/>
      <c r="FE300" s="32"/>
      <c r="FF300" s="32"/>
      <c r="FG300" s="32"/>
      <c r="FH300" s="32"/>
      <c r="FI300" s="32"/>
      <c r="FJ300" s="32"/>
      <c r="FK300" s="775" t="b">
        <f t="shared" si="476"/>
        <v>0</v>
      </c>
      <c r="FL300" s="775">
        <f t="shared" si="451"/>
        <v>11.700710501542609</v>
      </c>
      <c r="FM300" s="775">
        <v>40</v>
      </c>
      <c r="FN300" s="775">
        <f t="shared" si="477"/>
        <v>30</v>
      </c>
      <c r="FO300" s="673">
        <f t="shared" si="480"/>
        <v>41.700710501542609</v>
      </c>
      <c r="FP300" s="673">
        <f t="shared" si="453"/>
        <v>31.576723317281619</v>
      </c>
      <c r="FQ300" s="775" t="b">
        <f t="shared" si="454"/>
        <v>1</v>
      </c>
      <c r="FR300" s="673"/>
      <c r="FS300" s="775">
        <f t="shared" si="455"/>
        <v>41.700710501542609</v>
      </c>
      <c r="FT300" s="775">
        <f t="shared" si="456"/>
        <v>5.9796988434494519E-2</v>
      </c>
      <c r="FU300" s="775">
        <f t="shared" si="457"/>
        <v>2.9368828288616191E-3</v>
      </c>
      <c r="FV300" s="775">
        <f t="shared" si="458"/>
        <v>9.2107799718987238</v>
      </c>
      <c r="FW300" s="775">
        <f t="shared" si="459"/>
        <v>4.5874477391853983</v>
      </c>
      <c r="FX300" s="775">
        <f t="shared" si="460"/>
        <v>63.855341773016299</v>
      </c>
      <c r="FY300" s="775">
        <f t="shared" si="461"/>
        <v>135.64238167291236</v>
      </c>
      <c r="FZ300" s="775">
        <f t="shared" si="462"/>
        <v>31.918389286751832</v>
      </c>
      <c r="GA300" s="775">
        <f t="shared" si="463"/>
        <v>49.348255619846363</v>
      </c>
      <c r="GB300" s="775">
        <f t="shared" si="464"/>
        <v>83.954971762030311</v>
      </c>
      <c r="GC300" s="775">
        <f t="shared" si="465"/>
        <v>12.129763786968935</v>
      </c>
      <c r="GD300" s="775">
        <f t="shared" si="466"/>
        <v>33.674241568604756</v>
      </c>
      <c r="GE300" s="775">
        <f t="shared" si="467"/>
        <v>15.306473440274887</v>
      </c>
      <c r="GF300" s="775">
        <f t="shared" si="468"/>
        <v>48.166823595778126</v>
      </c>
      <c r="GG300" s="775">
        <f t="shared" si="469"/>
        <v>41.700710501542609</v>
      </c>
    </row>
    <row r="301" spans="70:189">
      <c r="BR301" s="775"/>
      <c r="BS301" s="775"/>
      <c r="BT301" s="775"/>
      <c r="BU301" s="775"/>
      <c r="BV301" s="775"/>
      <c r="BW301" s="775"/>
      <c r="BX301" s="775"/>
      <c r="BY301" s="775" t="b">
        <f t="shared" si="470"/>
        <v>0</v>
      </c>
      <c r="BZ301" s="775">
        <f t="shared" si="397"/>
        <v>16.061183225745754</v>
      </c>
      <c r="CA301" s="775">
        <v>41</v>
      </c>
      <c r="CB301" s="775">
        <f t="shared" si="478"/>
        <v>20.5</v>
      </c>
      <c r="CC301" s="673">
        <f t="shared" si="398"/>
        <v>4.4388167742542466</v>
      </c>
      <c r="CD301" s="91">
        <f t="shared" si="396"/>
        <v>2</v>
      </c>
      <c r="CE301" s="775" t="b">
        <f t="shared" si="399"/>
        <v>0</v>
      </c>
      <c r="CF301" s="673"/>
      <c r="CG301" s="775">
        <f t="shared" si="400"/>
        <v>4.4388167742542466</v>
      </c>
      <c r="CH301" s="775">
        <f t="shared" si="401"/>
        <v>6.2288591937096294E-2</v>
      </c>
      <c r="CI301" s="775">
        <f t="shared" si="402"/>
        <v>4.1661071199148823E-3</v>
      </c>
      <c r="CJ301" s="775">
        <f t="shared" si="403"/>
        <v>5.0419896749291677</v>
      </c>
      <c r="CK301" s="775">
        <f t="shared" si="404"/>
        <v>2.5488771074934253</v>
      </c>
      <c r="CL301" s="775">
        <f t="shared" si="405"/>
        <v>4.0033896981367043</v>
      </c>
      <c r="CM301" s="775">
        <f t="shared" si="406"/>
        <v>7.8722229909805668</v>
      </c>
      <c r="CN301" s="775">
        <f t="shared" si="407"/>
        <v>2.3089438847754087</v>
      </c>
      <c r="CO301" s="775">
        <f t="shared" si="408"/>
        <v>3.2915383830965919</v>
      </c>
      <c r="CP301" s="775">
        <f t="shared" si="409"/>
        <v>77.860739921370367</v>
      </c>
      <c r="CQ301" s="775">
        <f t="shared" si="410"/>
        <v>12.621734137340898</v>
      </c>
      <c r="CR301" s="775">
        <f t="shared" si="471"/>
        <v>18.224846070471624</v>
      </c>
      <c r="CS301" s="775">
        <f t="shared" si="411"/>
        <v>8.2840209411234653</v>
      </c>
      <c r="CT301" s="775">
        <f t="shared" si="412"/>
        <v>4.4388167742542466</v>
      </c>
      <c r="CU301" s="775">
        <f t="shared" si="413"/>
        <v>3.4702625143341397</v>
      </c>
      <c r="CV301" s="775"/>
      <c r="CW301" s="775"/>
      <c r="CX301" s="775"/>
      <c r="CY301" s="775"/>
      <c r="CZ301" s="775"/>
      <c r="DA301" s="775"/>
      <c r="DB301" s="775"/>
      <c r="DC301" s="775"/>
      <c r="DD301" s="775" t="b">
        <f t="shared" si="472"/>
        <v>0</v>
      </c>
      <c r="DE301" s="775">
        <f t="shared" si="414"/>
        <v>13.662135767722496</v>
      </c>
      <c r="DF301" s="775">
        <v>41</v>
      </c>
      <c r="DG301" s="775">
        <f t="shared" si="473"/>
        <v>29.5</v>
      </c>
      <c r="DH301" s="673">
        <f t="shared" si="415"/>
        <v>43.162135767722496</v>
      </c>
      <c r="DI301" s="673">
        <f t="shared" si="416"/>
        <v>26</v>
      </c>
      <c r="DJ301" s="775" t="b">
        <f t="shared" si="417"/>
        <v>0</v>
      </c>
      <c r="DK301" s="673"/>
      <c r="DL301" s="775">
        <f t="shared" si="418"/>
        <v>43.162135767722496</v>
      </c>
      <c r="DM301" s="775">
        <f t="shared" si="419"/>
        <v>6.0899480035298714E-2</v>
      </c>
      <c r="DN301" s="775">
        <f t="shared" si="420"/>
        <v>2.9910308509633176E-3</v>
      </c>
      <c r="DO301" s="775">
        <f t="shared" si="421"/>
        <v>9.1985662853206893</v>
      </c>
      <c r="DP301" s="775">
        <f t="shared" si="422"/>
        <v>4.5844679079889099</v>
      </c>
      <c r="DQ301" s="775">
        <f t="shared" si="423"/>
        <v>52.338340926659896</v>
      </c>
      <c r="DR301" s="775">
        <f t="shared" si="424"/>
        <v>111.17781252094089</v>
      </c>
      <c r="DS301" s="775">
        <f t="shared" si="425"/>
        <v>31.830258103800173</v>
      </c>
      <c r="DT301" s="775">
        <f t="shared" si="426"/>
        <v>49.223134752674532</v>
      </c>
      <c r="DU301" s="775">
        <f t="shared" si="427"/>
        <v>85.502869969559399</v>
      </c>
      <c r="DV301" s="775">
        <f t="shared" si="428"/>
        <v>12.353403188299684</v>
      </c>
      <c r="DW301" s="775">
        <f t="shared" si="429"/>
        <v>18.640553241866964</v>
      </c>
      <c r="DX301" s="775">
        <f t="shared" si="430"/>
        <v>8.4729787463031645</v>
      </c>
      <c r="DY301" s="775">
        <f t="shared" si="431"/>
        <v>43.162135767722496</v>
      </c>
      <c r="DZ301" s="775">
        <f t="shared" si="432"/>
        <v>41.637916839240283</v>
      </c>
      <c r="EA301" s="775"/>
      <c r="EB301" s="775"/>
      <c r="EC301" s="775"/>
      <c r="ED301" s="775"/>
      <c r="EE301" s="775"/>
      <c r="EF301" s="775" t="b">
        <f t="shared" si="474"/>
        <v>0</v>
      </c>
      <c r="EG301" s="775">
        <f t="shared" si="433"/>
        <v>16.061183225745754</v>
      </c>
      <c r="EH301" s="775">
        <v>41</v>
      </c>
      <c r="EI301" s="775">
        <f t="shared" si="479"/>
        <v>20.5</v>
      </c>
      <c r="EJ301" s="673">
        <f t="shared" si="434"/>
        <v>4.4388167742542466</v>
      </c>
      <c r="EK301" s="673">
        <f t="shared" si="435"/>
        <v>2.2510196371999172</v>
      </c>
      <c r="EL301" s="775" t="b">
        <f t="shared" si="436"/>
        <v>0</v>
      </c>
      <c r="EM301" s="673"/>
      <c r="EN301" s="775">
        <f t="shared" si="437"/>
        <v>4.4388167742542466</v>
      </c>
      <c r="EO301" s="775">
        <f t="shared" si="438"/>
        <v>6.2288591937096294E-2</v>
      </c>
      <c r="EP301" s="775">
        <f t="shared" si="439"/>
        <v>4.1661071199148823E-3</v>
      </c>
      <c r="EQ301" s="775">
        <f t="shared" si="440"/>
        <v>5.0419896749291677</v>
      </c>
      <c r="ER301" s="775">
        <f t="shared" si="441"/>
        <v>2.5488771074934253</v>
      </c>
      <c r="ES301" s="775">
        <f t="shared" si="442"/>
        <v>4.0033896981367043</v>
      </c>
      <c r="ET301" s="775">
        <f t="shared" si="443"/>
        <v>7.8722229909805668</v>
      </c>
      <c r="EU301" s="775">
        <f t="shared" si="444"/>
        <v>2.3089438847754087</v>
      </c>
      <c r="EV301" s="775">
        <f t="shared" si="445"/>
        <v>3.2915383830965919</v>
      </c>
      <c r="EW301" s="775">
        <f t="shared" si="446"/>
        <v>77.860739921370367</v>
      </c>
      <c r="EX301" s="775">
        <f t="shared" si="447"/>
        <v>12.621734137340898</v>
      </c>
      <c r="EY301" s="775">
        <f t="shared" si="475"/>
        <v>18.224846070471624</v>
      </c>
      <c r="EZ301" s="775">
        <f t="shared" si="448"/>
        <v>8.2840209411234653</v>
      </c>
      <c r="FA301" s="775">
        <f t="shared" si="449"/>
        <v>4.4388167742542466</v>
      </c>
      <c r="FB301" s="775">
        <f t="shared" si="450"/>
        <v>3.4702625143341397</v>
      </c>
      <c r="FC301" s="775"/>
      <c r="FD301" s="775"/>
      <c r="FE301" s="775"/>
      <c r="FF301" s="775"/>
      <c r="FG301" s="775"/>
      <c r="FH301" s="775"/>
      <c r="FI301" s="775"/>
      <c r="FJ301" s="775"/>
      <c r="FK301" s="775" t="b">
        <f t="shared" si="476"/>
        <v>0</v>
      </c>
      <c r="FL301" s="775">
        <f t="shared" si="451"/>
        <v>12.137916839240283</v>
      </c>
      <c r="FM301" s="775">
        <v>41</v>
      </c>
      <c r="FN301" s="775">
        <f t="shared" si="477"/>
        <v>29.5</v>
      </c>
      <c r="FO301" s="673">
        <f t="shared" si="480"/>
        <v>41.637916839240283</v>
      </c>
      <c r="FP301" s="673">
        <f t="shared" si="453"/>
        <v>31.576723317281619</v>
      </c>
      <c r="FQ301" s="775" t="b">
        <f t="shared" si="454"/>
        <v>1</v>
      </c>
      <c r="FR301" s="673"/>
      <c r="FS301" s="775">
        <f t="shared" si="455"/>
        <v>41.637916839240283</v>
      </c>
      <c r="FT301" s="775">
        <f t="shared" si="456"/>
        <v>6.0899480035298714E-2</v>
      </c>
      <c r="FU301" s="775">
        <f t="shared" si="457"/>
        <v>2.9910308509633176E-3</v>
      </c>
      <c r="FV301" s="775">
        <f t="shared" si="458"/>
        <v>9.1985662853206893</v>
      </c>
      <c r="FW301" s="775">
        <f t="shared" si="459"/>
        <v>4.5844679079889099</v>
      </c>
      <c r="FX301" s="775">
        <f t="shared" si="460"/>
        <v>63.564358089488323</v>
      </c>
      <c r="FY301" s="775">
        <f t="shared" si="461"/>
        <v>135.02427019209071</v>
      </c>
      <c r="FZ301" s="775">
        <f t="shared" si="462"/>
        <v>31.830258103800173</v>
      </c>
      <c r="GA301" s="775">
        <f t="shared" si="463"/>
        <v>49.223134752674532</v>
      </c>
      <c r="GB301" s="775">
        <f t="shared" si="464"/>
        <v>85.502869969559399</v>
      </c>
      <c r="GC301" s="775">
        <f t="shared" si="465"/>
        <v>12.353403188299684</v>
      </c>
      <c r="GD301" s="775">
        <f t="shared" si="466"/>
        <v>33.064621117472512</v>
      </c>
      <c r="GE301" s="775">
        <f t="shared" si="467"/>
        <v>15.029373235214777</v>
      </c>
      <c r="GF301" s="775">
        <f t="shared" si="468"/>
        <v>48.051254011842822</v>
      </c>
      <c r="GG301" s="775">
        <f t="shared" si="469"/>
        <v>41.637916839240283</v>
      </c>
    </row>
    <row r="302" spans="70:189">
      <c r="BR302" s="775"/>
      <c r="BS302" s="775"/>
      <c r="BT302" s="775"/>
      <c r="BU302" s="775"/>
      <c r="BV302" s="775"/>
      <c r="BW302" s="775"/>
      <c r="BX302" s="775"/>
      <c r="BY302" s="775" t="b">
        <f t="shared" si="470"/>
        <v>0</v>
      </c>
      <c r="BZ302" s="775">
        <f t="shared" si="397"/>
        <v>16.529263475490897</v>
      </c>
      <c r="CA302" s="775">
        <v>42</v>
      </c>
      <c r="CB302" s="775">
        <f t="shared" si="478"/>
        <v>21</v>
      </c>
      <c r="CC302" s="673">
        <f t="shared" si="398"/>
        <v>4.4707365245091042</v>
      </c>
      <c r="CD302" s="91">
        <f t="shared" si="396"/>
        <v>2</v>
      </c>
      <c r="CE302" s="775" t="b">
        <f t="shared" si="399"/>
        <v>0</v>
      </c>
      <c r="CF302" s="673"/>
      <c r="CG302" s="775">
        <f t="shared" si="400"/>
        <v>4.4707365245091042</v>
      </c>
      <c r="CH302" s="775">
        <f t="shared" si="401"/>
        <v>6.0834842575317259E-2</v>
      </c>
      <c r="CI302" s="775">
        <f t="shared" si="402"/>
        <v>4.0688746190936141E-3</v>
      </c>
      <c r="CJ302" s="775">
        <f t="shared" si="403"/>
        <v>5.0534964523890347</v>
      </c>
      <c r="CK302" s="775">
        <f t="shared" si="404"/>
        <v>2.5517726249365862</v>
      </c>
      <c r="CL302" s="775">
        <f t="shared" si="405"/>
        <v>4.0270952197830514</v>
      </c>
      <c r="CM302" s="775">
        <f t="shared" si="406"/>
        <v>7.9188372770203239</v>
      </c>
      <c r="CN302" s="775">
        <f t="shared" si="407"/>
        <v>2.3162192438853406</v>
      </c>
      <c r="CO302" s="775">
        <f t="shared" si="408"/>
        <v>3.3016058563253732</v>
      </c>
      <c r="CP302" s="775">
        <f t="shared" si="409"/>
        <v>76.043553219146574</v>
      </c>
      <c r="CQ302" s="775">
        <f t="shared" si="410"/>
        <v>12.327156312155283</v>
      </c>
      <c r="CR302" s="775">
        <f t="shared" si="471"/>
        <v>18.660358964429847</v>
      </c>
      <c r="CS302" s="775">
        <f t="shared" si="411"/>
        <v>8.4819813474681123</v>
      </c>
      <c r="CT302" s="775">
        <f t="shared" si="412"/>
        <v>4.4707365245091042</v>
      </c>
      <c r="CU302" s="775">
        <f t="shared" si="413"/>
        <v>3.4840973022459591</v>
      </c>
      <c r="CV302" s="775"/>
      <c r="CW302" s="775"/>
      <c r="CX302" s="775"/>
      <c r="CY302" s="775"/>
      <c r="CZ302" s="775"/>
      <c r="DA302" s="775"/>
      <c r="DB302" s="775"/>
      <c r="DC302" s="775"/>
      <c r="DD302" s="775" t="b">
        <f t="shared" si="472"/>
        <v>0</v>
      </c>
      <c r="DE302" s="775">
        <f t="shared" si="414"/>
        <v>14.046314725735229</v>
      </c>
      <c r="DF302" s="775">
        <v>42</v>
      </c>
      <c r="DG302" s="775">
        <f t="shared" si="473"/>
        <v>29</v>
      </c>
      <c r="DH302" s="673">
        <f t="shared" si="415"/>
        <v>43.046314725735229</v>
      </c>
      <c r="DI302" s="673">
        <f t="shared" si="416"/>
        <v>26</v>
      </c>
      <c r="DJ302" s="775" t="b">
        <f t="shared" si="417"/>
        <v>0</v>
      </c>
      <c r="DK302" s="673"/>
      <c r="DL302" s="775">
        <f t="shared" si="418"/>
        <v>43.046314725735229</v>
      </c>
      <c r="DM302" s="775">
        <f t="shared" si="419"/>
        <v>6.2041671840735092E-2</v>
      </c>
      <c r="DN302" s="775">
        <f t="shared" si="420"/>
        <v>3.0471287179040124E-3</v>
      </c>
      <c r="DO302" s="775">
        <f t="shared" si="421"/>
        <v>9.1859571029887856</v>
      </c>
      <c r="DP302" s="775">
        <f t="shared" si="422"/>
        <v>4.5813868904542918</v>
      </c>
      <c r="DQ302" s="775">
        <f t="shared" si="423"/>
        <v>52.095771609227647</v>
      </c>
      <c r="DR302" s="775">
        <f t="shared" si="424"/>
        <v>110.66254349216894</v>
      </c>
      <c r="DS302" s="775">
        <f t="shared" si="425"/>
        <v>31.740813382220701</v>
      </c>
      <c r="DT302" s="775">
        <f t="shared" si="426"/>
        <v>49.096148177326498</v>
      </c>
      <c r="DU302" s="775">
        <f t="shared" si="427"/>
        <v>87.106507264392064</v>
      </c>
      <c r="DV302" s="775">
        <f t="shared" si="428"/>
        <v>12.585095739414227</v>
      </c>
      <c r="DW302" s="775">
        <f t="shared" si="429"/>
        <v>18.297379266537664</v>
      </c>
      <c r="DX302" s="775">
        <f t="shared" si="430"/>
        <v>8.316990575698938</v>
      </c>
      <c r="DY302" s="775">
        <f t="shared" si="431"/>
        <v>43.046314725735229</v>
      </c>
      <c r="DZ302" s="775">
        <f t="shared" si="432"/>
        <v>41.57404838415188</v>
      </c>
      <c r="EA302" s="775"/>
      <c r="EB302" s="775"/>
      <c r="EC302" s="775"/>
      <c r="ED302" s="775"/>
      <c r="EE302" s="775"/>
      <c r="EF302" s="775" t="b">
        <f t="shared" si="474"/>
        <v>0</v>
      </c>
      <c r="EG302" s="775">
        <f t="shared" si="433"/>
        <v>16.529263475490897</v>
      </c>
      <c r="EH302" s="775">
        <v>42</v>
      </c>
      <c r="EI302" s="775">
        <f t="shared" si="479"/>
        <v>21</v>
      </c>
      <c r="EJ302" s="673">
        <f t="shared" si="434"/>
        <v>4.4707365245091042</v>
      </c>
      <c r="EK302" s="673">
        <f t="shared" si="435"/>
        <v>2.2510196371999172</v>
      </c>
      <c r="EL302" s="775" t="b">
        <f t="shared" si="436"/>
        <v>0</v>
      </c>
      <c r="EM302" s="673"/>
      <c r="EN302" s="775">
        <f t="shared" si="437"/>
        <v>4.4707365245091042</v>
      </c>
      <c r="EO302" s="775">
        <f t="shared" si="438"/>
        <v>6.0834842575317259E-2</v>
      </c>
      <c r="EP302" s="775">
        <f t="shared" si="439"/>
        <v>4.0688746190936141E-3</v>
      </c>
      <c r="EQ302" s="775">
        <f t="shared" si="440"/>
        <v>5.0534964523890347</v>
      </c>
      <c r="ER302" s="775">
        <f t="shared" si="441"/>
        <v>2.5517726249365862</v>
      </c>
      <c r="ES302" s="775">
        <f t="shared" si="442"/>
        <v>4.0270952197830514</v>
      </c>
      <c r="ET302" s="775">
        <f t="shared" si="443"/>
        <v>7.9188372770203239</v>
      </c>
      <c r="EU302" s="775">
        <f t="shared" si="444"/>
        <v>2.3162192438853406</v>
      </c>
      <c r="EV302" s="775">
        <f t="shared" si="445"/>
        <v>3.3016058563253732</v>
      </c>
      <c r="EW302" s="775">
        <f t="shared" si="446"/>
        <v>76.043553219146574</v>
      </c>
      <c r="EX302" s="775">
        <f t="shared" si="447"/>
        <v>12.327156312155283</v>
      </c>
      <c r="EY302" s="775">
        <f t="shared" si="475"/>
        <v>18.660358964429847</v>
      </c>
      <c r="EZ302" s="775">
        <f t="shared" si="448"/>
        <v>8.4819813474681123</v>
      </c>
      <c r="FA302" s="775">
        <f t="shared" si="449"/>
        <v>4.4707365245091042</v>
      </c>
      <c r="FB302" s="775">
        <f t="shared" si="450"/>
        <v>3.4840973022459591</v>
      </c>
      <c r="FC302" s="775"/>
      <c r="FD302" s="775"/>
      <c r="FE302" s="775"/>
      <c r="FF302" s="775"/>
      <c r="FG302" s="775"/>
      <c r="FH302" s="775"/>
      <c r="FI302" s="775"/>
      <c r="FJ302" s="775"/>
      <c r="FK302" s="775" t="b">
        <f t="shared" si="476"/>
        <v>0</v>
      </c>
      <c r="FL302" s="775">
        <f t="shared" si="451"/>
        <v>12.57404838415188</v>
      </c>
      <c r="FM302" s="775">
        <v>42</v>
      </c>
      <c r="FN302" s="775">
        <f t="shared" si="477"/>
        <v>29</v>
      </c>
      <c r="FO302" s="673">
        <f t="shared" si="480"/>
        <v>41.57404838415188</v>
      </c>
      <c r="FP302" s="673">
        <f t="shared" si="453"/>
        <v>31.576723317281619</v>
      </c>
      <c r="FQ302" s="775" t="b">
        <f t="shared" si="454"/>
        <v>1</v>
      </c>
      <c r="FR302" s="673"/>
      <c r="FS302" s="775">
        <f t="shared" si="455"/>
        <v>41.57404838415188</v>
      </c>
      <c r="FT302" s="775">
        <f t="shared" si="456"/>
        <v>6.2041671840735092E-2</v>
      </c>
      <c r="FU302" s="775">
        <f t="shared" si="457"/>
        <v>3.0471287179040124E-3</v>
      </c>
      <c r="FV302" s="775">
        <f t="shared" si="458"/>
        <v>9.1859571029887856</v>
      </c>
      <c r="FW302" s="775">
        <f t="shared" si="459"/>
        <v>4.5813868904542918</v>
      </c>
      <c r="FX302" s="775">
        <f t="shared" si="460"/>
        <v>63.269760234802938</v>
      </c>
      <c r="FY302" s="775">
        <f t="shared" si="461"/>
        <v>134.39848143995624</v>
      </c>
      <c r="FZ302" s="775">
        <f t="shared" si="462"/>
        <v>31.740813382220701</v>
      </c>
      <c r="GA302" s="775">
        <f t="shared" si="463"/>
        <v>49.096148177326498</v>
      </c>
      <c r="GB302" s="775">
        <f t="shared" si="464"/>
        <v>87.106507264392064</v>
      </c>
      <c r="GC302" s="775">
        <f t="shared" si="465"/>
        <v>12.585095739414227</v>
      </c>
      <c r="GD302" s="775">
        <f t="shared" si="466"/>
        <v>32.455898976857348</v>
      </c>
      <c r="GE302" s="775">
        <f t="shared" si="467"/>
        <v>14.752681353116975</v>
      </c>
      <c r="GF302" s="775">
        <f t="shared" si="468"/>
        <v>47.933722805222821</v>
      </c>
      <c r="GG302" s="775">
        <f t="shared" si="469"/>
        <v>41.57404838415188</v>
      </c>
    </row>
    <row r="303" spans="70:189">
      <c r="BR303" s="775"/>
      <c r="BS303" s="775"/>
      <c r="BT303" s="775"/>
      <c r="BU303" s="775"/>
      <c r="BV303" s="775"/>
      <c r="BW303" s="775"/>
      <c r="BX303" s="775"/>
      <c r="BY303" s="775" t="b">
        <f t="shared" si="470"/>
        <v>0</v>
      </c>
      <c r="BZ303" s="775">
        <f t="shared" si="397"/>
        <v>16.997933218147807</v>
      </c>
      <c r="CA303" s="775">
        <v>43</v>
      </c>
      <c r="CB303" s="775">
        <f t="shared" si="478"/>
        <v>21.5</v>
      </c>
      <c r="CC303" s="673">
        <f t="shared" si="398"/>
        <v>4.5020667818521938</v>
      </c>
      <c r="CD303" s="91">
        <f t="shared" si="396"/>
        <v>2</v>
      </c>
      <c r="CE303" s="775" t="b">
        <f t="shared" si="399"/>
        <v>0</v>
      </c>
      <c r="CF303" s="673"/>
      <c r="CG303" s="775">
        <f t="shared" si="400"/>
        <v>4.5020667818521938</v>
      </c>
      <c r="CH303" s="775">
        <f t="shared" si="401"/>
        <v>5.9448049055725052E-2</v>
      </c>
      <c r="CI303" s="775">
        <f t="shared" si="402"/>
        <v>3.9761203895284395E-3</v>
      </c>
      <c r="CJ303" s="775">
        <f t="shared" si="403"/>
        <v>5.0645371150545779</v>
      </c>
      <c r="CK303" s="775">
        <f t="shared" si="404"/>
        <v>2.5545439992919703</v>
      </c>
      <c r="CL303" s="775">
        <f t="shared" si="405"/>
        <v>4.0503783592624343</v>
      </c>
      <c r="CM303" s="775">
        <f t="shared" si="406"/>
        <v>7.9646209952521776</v>
      </c>
      <c r="CN303" s="775">
        <f t="shared" si="407"/>
        <v>2.3233431294370068</v>
      </c>
      <c r="CO303" s="775">
        <f t="shared" si="408"/>
        <v>3.3114642865692225</v>
      </c>
      <c r="CP303" s="775">
        <f t="shared" si="409"/>
        <v>74.310061319656313</v>
      </c>
      <c r="CQ303" s="775">
        <f t="shared" si="410"/>
        <v>12.046145960767719</v>
      </c>
      <c r="CR303" s="775">
        <f t="shared" si="471"/>
        <v>19.095664500880307</v>
      </c>
      <c r="CS303" s="775">
        <f t="shared" si="411"/>
        <v>8.6798475004001396</v>
      </c>
      <c r="CT303" s="775">
        <f t="shared" si="412"/>
        <v>4.5020667818521938</v>
      </c>
      <c r="CU303" s="775">
        <f t="shared" si="413"/>
        <v>3.4976409794673704</v>
      </c>
      <c r="CV303" s="775"/>
      <c r="CW303" s="775"/>
      <c r="CX303" s="775"/>
      <c r="CY303" s="775"/>
      <c r="CZ303" s="775"/>
      <c r="DA303" s="775"/>
      <c r="DB303" s="775"/>
      <c r="DC303" s="775"/>
      <c r="DD303" s="775" t="b">
        <f t="shared" si="472"/>
        <v>0</v>
      </c>
      <c r="DE303" s="775">
        <f t="shared" si="414"/>
        <v>14.428548156537801</v>
      </c>
      <c r="DF303" s="775">
        <v>43</v>
      </c>
      <c r="DG303" s="775">
        <f t="shared" si="473"/>
        <v>28.5</v>
      </c>
      <c r="DH303" s="673">
        <f t="shared" si="415"/>
        <v>42.928548156537801</v>
      </c>
      <c r="DI303" s="673">
        <f t="shared" si="416"/>
        <v>26</v>
      </c>
      <c r="DJ303" s="775" t="b">
        <f t="shared" si="417"/>
        <v>0</v>
      </c>
      <c r="DK303" s="673"/>
      <c r="DL303" s="775">
        <f t="shared" si="418"/>
        <v>42.928548156537801</v>
      </c>
      <c r="DM303" s="775">
        <f t="shared" si="419"/>
        <v>6.3225715553271361E-2</v>
      </c>
      <c r="DN303" s="775">
        <f t="shared" si="420"/>
        <v>3.1052821088858791E-3</v>
      </c>
      <c r="DO303" s="775">
        <f t="shared" si="421"/>
        <v>9.1729332305447002</v>
      </c>
      <c r="DP303" s="775">
        <f t="shared" si="422"/>
        <v>4.5781995274091782</v>
      </c>
      <c r="DQ303" s="775">
        <f t="shared" si="423"/>
        <v>51.850137173315034</v>
      </c>
      <c r="DR303" s="775">
        <f t="shared" si="424"/>
        <v>110.14076349721559</v>
      </c>
      <c r="DS303" s="775">
        <f t="shared" si="425"/>
        <v>31.650012428448232</v>
      </c>
      <c r="DT303" s="775">
        <f t="shared" si="426"/>
        <v>48.967235142984507</v>
      </c>
      <c r="DU303" s="775">
        <f t="shared" si="427"/>
        <v>88.768904636792996</v>
      </c>
      <c r="DV303" s="775">
        <f t="shared" si="428"/>
        <v>12.825277911167642</v>
      </c>
      <c r="DW303" s="775">
        <f t="shared" si="429"/>
        <v>17.954719690653839</v>
      </c>
      <c r="DX303" s="775">
        <f t="shared" si="430"/>
        <v>8.1612362230244724</v>
      </c>
      <c r="DY303" s="775">
        <f t="shared" si="431"/>
        <v>42.928548156537801</v>
      </c>
      <c r="DZ303" s="775">
        <f t="shared" si="432"/>
        <v>41.509067863248596</v>
      </c>
      <c r="EA303" s="775"/>
      <c r="EB303" s="775"/>
      <c r="EC303" s="775"/>
      <c r="ED303" s="775"/>
      <c r="EE303" s="775"/>
      <c r="EF303" s="775" t="b">
        <f t="shared" si="474"/>
        <v>0</v>
      </c>
      <c r="EG303" s="775">
        <f t="shared" si="433"/>
        <v>16.997933218147807</v>
      </c>
      <c r="EH303" s="775">
        <v>43</v>
      </c>
      <c r="EI303" s="775">
        <f t="shared" si="479"/>
        <v>21.5</v>
      </c>
      <c r="EJ303" s="673">
        <f t="shared" si="434"/>
        <v>4.5020667818521938</v>
      </c>
      <c r="EK303" s="673">
        <f t="shared" si="435"/>
        <v>2.2510196371999172</v>
      </c>
      <c r="EL303" s="775" t="b">
        <f t="shared" si="436"/>
        <v>0</v>
      </c>
      <c r="EM303" s="673"/>
      <c r="EN303" s="775">
        <f t="shared" si="437"/>
        <v>4.5020667818521938</v>
      </c>
      <c r="EO303" s="775">
        <f t="shared" si="438"/>
        <v>5.9448049055725052E-2</v>
      </c>
      <c r="EP303" s="775">
        <f t="shared" si="439"/>
        <v>3.9761203895284395E-3</v>
      </c>
      <c r="EQ303" s="775">
        <f t="shared" si="440"/>
        <v>5.0645371150545779</v>
      </c>
      <c r="ER303" s="775">
        <f t="shared" si="441"/>
        <v>2.5545439992919703</v>
      </c>
      <c r="ES303" s="775">
        <f t="shared" si="442"/>
        <v>4.0503783592624343</v>
      </c>
      <c r="ET303" s="775">
        <f t="shared" si="443"/>
        <v>7.9646209952521776</v>
      </c>
      <c r="EU303" s="775">
        <f t="shared" si="444"/>
        <v>2.3233431294370068</v>
      </c>
      <c r="EV303" s="775">
        <f t="shared" si="445"/>
        <v>3.3114642865692225</v>
      </c>
      <c r="EW303" s="775">
        <f t="shared" si="446"/>
        <v>74.310061319656313</v>
      </c>
      <c r="EX303" s="775">
        <f t="shared" si="447"/>
        <v>12.046145960767719</v>
      </c>
      <c r="EY303" s="775">
        <f t="shared" si="475"/>
        <v>19.095664500880307</v>
      </c>
      <c r="EZ303" s="775">
        <f t="shared" si="448"/>
        <v>8.6798475004001396</v>
      </c>
      <c r="FA303" s="775">
        <f t="shared" si="449"/>
        <v>4.5020667818521938</v>
      </c>
      <c r="FB303" s="775">
        <f t="shared" si="450"/>
        <v>3.4976409794673704</v>
      </c>
      <c r="FC303" s="775"/>
      <c r="FD303" s="775"/>
      <c r="FE303" s="775"/>
      <c r="FF303" s="775"/>
      <c r="FG303" s="775"/>
      <c r="FH303" s="775"/>
      <c r="FI303" s="775"/>
      <c r="FJ303" s="775"/>
      <c r="FK303" s="775" t="b">
        <f t="shared" si="476"/>
        <v>0</v>
      </c>
      <c r="FL303" s="775">
        <f t="shared" si="451"/>
        <v>13.009067863248596</v>
      </c>
      <c r="FM303" s="775">
        <v>43</v>
      </c>
      <c r="FN303" s="775">
        <f t="shared" si="477"/>
        <v>28.5</v>
      </c>
      <c r="FO303" s="673">
        <f t="shared" si="480"/>
        <v>41.509067863248596</v>
      </c>
      <c r="FP303" s="673">
        <f t="shared" si="453"/>
        <v>31.576723317281619</v>
      </c>
      <c r="FQ303" s="775" t="b">
        <f t="shared" si="454"/>
        <v>1</v>
      </c>
      <c r="FR303" s="673"/>
      <c r="FS303" s="775">
        <f t="shared" si="455"/>
        <v>41.509067863248596</v>
      </c>
      <c r="FT303" s="775">
        <f t="shared" si="456"/>
        <v>6.3225715553271361E-2</v>
      </c>
      <c r="FU303" s="775">
        <f t="shared" si="457"/>
        <v>3.1052821088858791E-3</v>
      </c>
      <c r="FV303" s="775">
        <f t="shared" si="458"/>
        <v>9.1729332305447002</v>
      </c>
      <c r="FW303" s="775">
        <f t="shared" si="459"/>
        <v>4.5781995274091782</v>
      </c>
      <c r="FX303" s="775">
        <f t="shared" si="460"/>
        <v>62.971439826341054</v>
      </c>
      <c r="FY303" s="775">
        <f t="shared" si="461"/>
        <v>133.76478518868183</v>
      </c>
      <c r="FZ303" s="775">
        <f t="shared" si="462"/>
        <v>31.650012428448232</v>
      </c>
      <c r="GA303" s="775">
        <f t="shared" si="463"/>
        <v>48.967235142984507</v>
      </c>
      <c r="GB303" s="775">
        <f t="shared" si="464"/>
        <v>88.768904636792996</v>
      </c>
      <c r="GC303" s="775">
        <f t="shared" si="465"/>
        <v>12.825277911167642</v>
      </c>
      <c r="GD303" s="775">
        <f t="shared" si="466"/>
        <v>31.848089278193179</v>
      </c>
      <c r="GE303" s="775">
        <f t="shared" si="467"/>
        <v>14.476404217360535</v>
      </c>
      <c r="GF303" s="775">
        <f t="shared" si="468"/>
        <v>47.814163285291073</v>
      </c>
      <c r="GG303" s="775">
        <f t="shared" si="469"/>
        <v>41.509067863248596</v>
      </c>
    </row>
    <row r="304" spans="70:189">
      <c r="BR304" s="775"/>
      <c r="BS304" s="775"/>
      <c r="BT304" s="775"/>
      <c r="BU304" s="775"/>
      <c r="BV304" s="775"/>
      <c r="BW304" s="775"/>
      <c r="BX304" s="775"/>
      <c r="BY304" s="775" t="b">
        <f t="shared" si="470"/>
        <v>0</v>
      </c>
      <c r="BZ304" s="775">
        <f t="shared" si="397"/>
        <v>17.467168338272508</v>
      </c>
      <c r="CA304" s="775">
        <v>44</v>
      </c>
      <c r="CB304" s="775">
        <f t="shared" si="478"/>
        <v>22</v>
      </c>
      <c r="CC304" s="673">
        <f t="shared" si="398"/>
        <v>4.5328316617274913</v>
      </c>
      <c r="CD304" s="91">
        <f t="shared" si="396"/>
        <v>2</v>
      </c>
      <c r="CE304" s="775" t="b">
        <f t="shared" si="399"/>
        <v>0</v>
      </c>
      <c r="CF304" s="673"/>
      <c r="CG304" s="775">
        <f t="shared" si="400"/>
        <v>4.5328316617274913</v>
      </c>
      <c r="CH304" s="775">
        <f t="shared" si="401"/>
        <v>5.8123675594779108E-2</v>
      </c>
      <c r="CI304" s="775">
        <f t="shared" si="402"/>
        <v>3.8875410600960909E-3</v>
      </c>
      <c r="CJ304" s="775">
        <f t="shared" si="403"/>
        <v>5.075139575248472</v>
      </c>
      <c r="CK304" s="775">
        <f t="shared" si="404"/>
        <v>2.5571990799154092</v>
      </c>
      <c r="CL304" s="775">
        <f t="shared" si="405"/>
        <v>4.0732562082858337</v>
      </c>
      <c r="CM304" s="775">
        <f t="shared" si="406"/>
        <v>8.0096077546351108</v>
      </c>
      <c r="CN304" s="775">
        <f t="shared" si="407"/>
        <v>2.330322113668549</v>
      </c>
      <c r="CO304" s="775">
        <f t="shared" si="408"/>
        <v>3.3211227314659384</v>
      </c>
      <c r="CP304" s="775">
        <f t="shared" si="409"/>
        <v>72.65459449347388</v>
      </c>
      <c r="CQ304" s="775">
        <f t="shared" si="410"/>
        <v>11.777783983032039</v>
      </c>
      <c r="CR304" s="775">
        <f t="shared" si="471"/>
        <v>19.530767598289465</v>
      </c>
      <c r="CS304" s="775">
        <f t="shared" si="411"/>
        <v>8.8776216355861202</v>
      </c>
      <c r="CT304" s="775">
        <f t="shared" si="412"/>
        <v>4.5328316617274913</v>
      </c>
      <c r="CU304" s="775">
        <f t="shared" si="413"/>
        <v>3.5109062277854854</v>
      </c>
      <c r="CV304" s="775"/>
      <c r="CW304" s="775"/>
      <c r="CX304" s="775"/>
      <c r="CY304" s="775"/>
      <c r="CZ304" s="775"/>
      <c r="DA304" s="775"/>
      <c r="DB304" s="775"/>
      <c r="DC304" s="775"/>
      <c r="DD304" s="775" t="b">
        <f t="shared" si="472"/>
        <v>0</v>
      </c>
      <c r="DE304" s="775">
        <f t="shared" si="414"/>
        <v>14.808769702547487</v>
      </c>
      <c r="DF304" s="775">
        <v>44</v>
      </c>
      <c r="DG304" s="775">
        <f t="shared" si="473"/>
        <v>28</v>
      </c>
      <c r="DH304" s="673">
        <f t="shared" si="415"/>
        <v>42.808769702547487</v>
      </c>
      <c r="DI304" s="673">
        <f t="shared" si="416"/>
        <v>26</v>
      </c>
      <c r="DJ304" s="775" t="b">
        <f t="shared" si="417"/>
        <v>0</v>
      </c>
      <c r="DK304" s="673"/>
      <c r="DL304" s="775">
        <f t="shared" si="418"/>
        <v>42.808769702547487</v>
      </c>
      <c r="DM304" s="775">
        <f t="shared" si="419"/>
        <v>6.4453920031523559E-2</v>
      </c>
      <c r="DN304" s="775">
        <f t="shared" si="420"/>
        <v>3.1656044217137445E-3</v>
      </c>
      <c r="DO304" s="775">
        <f t="shared" si="421"/>
        <v>9.1594742228335964</v>
      </c>
      <c r="DP304" s="775">
        <f t="shared" si="422"/>
        <v>4.5749003059347055</v>
      </c>
      <c r="DQ304" s="775">
        <f t="shared" si="423"/>
        <v>51.601344078185356</v>
      </c>
      <c r="DR304" s="775">
        <f t="shared" si="424"/>
        <v>109.61227383558128</v>
      </c>
      <c r="DS304" s="775">
        <f t="shared" si="425"/>
        <v>31.55781038327898</v>
      </c>
      <c r="DT304" s="775">
        <f t="shared" si="426"/>
        <v>48.83633181124334</v>
      </c>
      <c r="DU304" s="775">
        <f t="shared" si="427"/>
        <v>90.493303724259079</v>
      </c>
      <c r="DV304" s="775">
        <f t="shared" si="428"/>
        <v>13.074418053394313</v>
      </c>
      <c r="DW304" s="775">
        <f t="shared" si="429"/>
        <v>17.612582748183332</v>
      </c>
      <c r="DX304" s="775">
        <f t="shared" si="430"/>
        <v>8.0057194309924231</v>
      </c>
      <c r="DY304" s="775">
        <f t="shared" si="431"/>
        <v>42.808769702547487</v>
      </c>
      <c r="DZ304" s="775">
        <f t="shared" si="432"/>
        <v>41.442936030856131</v>
      </c>
      <c r="EA304" s="775"/>
      <c r="EB304" s="775"/>
      <c r="EC304" s="775"/>
      <c r="ED304" s="775"/>
      <c r="EE304" s="775"/>
      <c r="EF304" s="775" t="b">
        <f t="shared" si="474"/>
        <v>0</v>
      </c>
      <c r="EG304" s="775">
        <f t="shared" si="433"/>
        <v>17.467168338272508</v>
      </c>
      <c r="EH304" s="775">
        <v>44</v>
      </c>
      <c r="EI304" s="775">
        <f t="shared" si="479"/>
        <v>22</v>
      </c>
      <c r="EJ304" s="673">
        <f t="shared" si="434"/>
        <v>4.5328316617274913</v>
      </c>
      <c r="EK304" s="673">
        <f t="shared" si="435"/>
        <v>2.2510196371999172</v>
      </c>
      <c r="EL304" s="775" t="b">
        <f t="shared" si="436"/>
        <v>0</v>
      </c>
      <c r="EM304" s="673"/>
      <c r="EN304" s="775">
        <f t="shared" si="437"/>
        <v>4.5328316617274913</v>
      </c>
      <c r="EO304" s="775">
        <f t="shared" si="438"/>
        <v>5.8123675594779108E-2</v>
      </c>
      <c r="EP304" s="775">
        <f t="shared" si="439"/>
        <v>3.8875410600960909E-3</v>
      </c>
      <c r="EQ304" s="775">
        <f t="shared" si="440"/>
        <v>5.075139575248472</v>
      </c>
      <c r="ER304" s="775">
        <f t="shared" si="441"/>
        <v>2.5571990799154092</v>
      </c>
      <c r="ES304" s="775">
        <f t="shared" si="442"/>
        <v>4.0732562082858337</v>
      </c>
      <c r="ET304" s="775">
        <f t="shared" si="443"/>
        <v>8.0096077546351108</v>
      </c>
      <c r="EU304" s="775">
        <f t="shared" si="444"/>
        <v>2.330322113668549</v>
      </c>
      <c r="EV304" s="775">
        <f t="shared" si="445"/>
        <v>3.3211227314659384</v>
      </c>
      <c r="EW304" s="775">
        <f t="shared" si="446"/>
        <v>72.65459449347388</v>
      </c>
      <c r="EX304" s="775">
        <f t="shared" si="447"/>
        <v>11.777783983032039</v>
      </c>
      <c r="EY304" s="775">
        <f t="shared" si="475"/>
        <v>19.530767598289465</v>
      </c>
      <c r="EZ304" s="775">
        <f t="shared" si="448"/>
        <v>8.8776216355861202</v>
      </c>
      <c r="FA304" s="775">
        <f t="shared" si="449"/>
        <v>4.5328316617274913</v>
      </c>
      <c r="FB304" s="775">
        <f t="shared" si="450"/>
        <v>3.5109062277854854</v>
      </c>
      <c r="FC304" s="775"/>
      <c r="FD304" s="775"/>
      <c r="FE304" s="775"/>
      <c r="FF304" s="775"/>
      <c r="FG304" s="775"/>
      <c r="FH304" s="775"/>
      <c r="FI304" s="775"/>
      <c r="FJ304" s="775"/>
      <c r="FK304" s="775" t="b">
        <f t="shared" si="476"/>
        <v>0</v>
      </c>
      <c r="FL304" s="775">
        <f t="shared" si="451"/>
        <v>13.442936030856131</v>
      </c>
      <c r="FM304" s="775">
        <v>44</v>
      </c>
      <c r="FN304" s="775">
        <f t="shared" si="477"/>
        <v>28</v>
      </c>
      <c r="FO304" s="673">
        <f t="shared" si="480"/>
        <v>41.442936030856131</v>
      </c>
      <c r="FP304" s="673">
        <f t="shared" si="453"/>
        <v>31.576723317281619</v>
      </c>
      <c r="FQ304" s="775" t="b">
        <f t="shared" si="454"/>
        <v>1</v>
      </c>
      <c r="FR304" s="673"/>
      <c r="FS304" s="775">
        <f t="shared" si="455"/>
        <v>41.442936030856131</v>
      </c>
      <c r="FT304" s="775">
        <f t="shared" si="456"/>
        <v>6.4453920031523559E-2</v>
      </c>
      <c r="FU304" s="775">
        <f t="shared" si="457"/>
        <v>3.1656044217137445E-3</v>
      </c>
      <c r="FV304" s="775">
        <f t="shared" si="458"/>
        <v>9.1594742228335964</v>
      </c>
      <c r="FW304" s="775">
        <f t="shared" si="459"/>
        <v>4.5749003059347055</v>
      </c>
      <c r="FX304" s="775">
        <f t="shared" si="460"/>
        <v>62.66928325987336</v>
      </c>
      <c r="FY304" s="775">
        <f t="shared" si="461"/>
        <v>133.12294011862528</v>
      </c>
      <c r="FZ304" s="775">
        <f t="shared" si="462"/>
        <v>31.55781038327898</v>
      </c>
      <c r="GA304" s="775">
        <f t="shared" si="463"/>
        <v>48.83633181124334</v>
      </c>
      <c r="GB304" s="775">
        <f t="shared" si="464"/>
        <v>90.493303724259079</v>
      </c>
      <c r="GC304" s="775">
        <f t="shared" si="465"/>
        <v>13.074418053394313</v>
      </c>
      <c r="GD304" s="775">
        <f t="shared" si="466"/>
        <v>31.241206626895607</v>
      </c>
      <c r="GE304" s="775">
        <f t="shared" si="467"/>
        <v>14.20054846677073</v>
      </c>
      <c r="GF304" s="775">
        <f t="shared" si="468"/>
        <v>47.69250529781209</v>
      </c>
      <c r="GG304" s="775">
        <f t="shared" si="469"/>
        <v>41.442936030856131</v>
      </c>
    </row>
    <row r="305" spans="70:189">
      <c r="BR305" s="775"/>
      <c r="BS305" s="775"/>
      <c r="BT305" s="775"/>
      <c r="BU305" s="775"/>
      <c r="BV305" s="775"/>
      <c r="BW305" s="775"/>
      <c r="BX305" s="775"/>
      <c r="BY305" s="775" t="b">
        <f t="shared" si="470"/>
        <v>0</v>
      </c>
      <c r="BZ305" s="775">
        <f t="shared" si="397"/>
        <v>17.936946226805549</v>
      </c>
      <c r="CA305" s="775">
        <v>45</v>
      </c>
      <c r="CB305" s="775">
        <f t="shared" si="478"/>
        <v>22.5</v>
      </c>
      <c r="CC305" s="673">
        <f t="shared" si="398"/>
        <v>4.5630537731944516</v>
      </c>
      <c r="CD305" s="91">
        <f t="shared" si="396"/>
        <v>2</v>
      </c>
      <c r="CE305" s="775" t="b">
        <f t="shared" si="399"/>
        <v>0</v>
      </c>
      <c r="CF305" s="673"/>
      <c r="CG305" s="775">
        <f t="shared" si="400"/>
        <v>4.5630537731944516</v>
      </c>
      <c r="CH305" s="775">
        <f t="shared" si="401"/>
        <v>5.68575876646846E-2</v>
      </c>
      <c r="CI305" s="775">
        <f t="shared" si="402"/>
        <v>3.8028600972428643E-3</v>
      </c>
      <c r="CJ305" s="775">
        <f t="shared" si="403"/>
        <v>5.0853295523300108</v>
      </c>
      <c r="CK305" s="775">
        <f t="shared" si="404"/>
        <v>2.5597450664844268</v>
      </c>
      <c r="CL305" s="775">
        <f t="shared" si="405"/>
        <v>4.0957447972767573</v>
      </c>
      <c r="CM305" s="775">
        <f t="shared" si="406"/>
        <v>8.053829077223682</v>
      </c>
      <c r="CN305" s="775">
        <f t="shared" si="407"/>
        <v>2.3371623420778707</v>
      </c>
      <c r="CO305" s="775">
        <f t="shared" si="408"/>
        <v>3.3305896610692733</v>
      </c>
      <c r="CP305" s="775">
        <f t="shared" si="409"/>
        <v>71.071984580855755</v>
      </c>
      <c r="CQ305" s="775">
        <f t="shared" si="410"/>
        <v>11.521232586521311</v>
      </c>
      <c r="CR305" s="775">
        <f t="shared" si="471"/>
        <v>19.965672949313248</v>
      </c>
      <c r="CS305" s="775">
        <f t="shared" si="411"/>
        <v>9.0753058860514759</v>
      </c>
      <c r="CT305" s="775">
        <f t="shared" si="412"/>
        <v>4.5630537731944516</v>
      </c>
      <c r="CU305" s="775">
        <f t="shared" si="413"/>
        <v>3.5239049035945458</v>
      </c>
      <c r="CV305" s="775"/>
      <c r="CW305" s="775"/>
      <c r="CX305" s="775"/>
      <c r="CY305" s="775"/>
      <c r="CZ305" s="775"/>
      <c r="DA305" s="775"/>
      <c r="DB305" s="775"/>
      <c r="DC305" s="775"/>
      <c r="DD305" s="775" t="b">
        <f t="shared" si="472"/>
        <v>0</v>
      </c>
      <c r="DE305" s="775">
        <f t="shared" si="414"/>
        <v>15.186909530631972</v>
      </c>
      <c r="DF305" s="775">
        <v>45</v>
      </c>
      <c r="DG305" s="775">
        <f t="shared" si="473"/>
        <v>27.5</v>
      </c>
      <c r="DH305" s="673">
        <f t="shared" si="415"/>
        <v>42.686909530631972</v>
      </c>
      <c r="DI305" s="673">
        <f t="shared" si="416"/>
        <v>26</v>
      </c>
      <c r="DJ305" s="775" t="b">
        <f t="shared" si="417"/>
        <v>0</v>
      </c>
      <c r="DK305" s="673"/>
      <c r="DL305" s="775">
        <f t="shared" si="418"/>
        <v>42.686909530631972</v>
      </c>
      <c r="DM305" s="775">
        <f t="shared" si="419"/>
        <v>6.5728765837073266E-2</v>
      </c>
      <c r="DN305" s="775">
        <f t="shared" si="420"/>
        <v>3.2282174872507604E-3</v>
      </c>
      <c r="DO305" s="775">
        <f t="shared" si="421"/>
        <v>9.1455582809435931</v>
      </c>
      <c r="DP305" s="775">
        <f t="shared" si="422"/>
        <v>4.5714833286845282</v>
      </c>
      <c r="DQ305" s="775">
        <f t="shared" si="423"/>
        <v>51.349294195516499</v>
      </c>
      <c r="DR305" s="775">
        <f t="shared" si="424"/>
        <v>109.07686606175537</v>
      </c>
      <c r="DS305" s="775">
        <f t="shared" si="425"/>
        <v>31.464160071123384</v>
      </c>
      <c r="DT305" s="775">
        <f t="shared" si="426"/>
        <v>48.703371040780731</v>
      </c>
      <c r="DU305" s="775">
        <f t="shared" si="427"/>
        <v>92.283187235250864</v>
      </c>
      <c r="DV305" s="775">
        <f t="shared" si="428"/>
        <v>13.333019345716346</v>
      </c>
      <c r="DW305" s="775">
        <f t="shared" si="429"/>
        <v>17.270976954198467</v>
      </c>
      <c r="DX305" s="775">
        <f t="shared" si="430"/>
        <v>7.8504440700902114</v>
      </c>
      <c r="DY305" s="775">
        <f t="shared" si="431"/>
        <v>42.686909530631972</v>
      </c>
      <c r="DZ305" s="775">
        <f t="shared" si="432"/>
        <v>41.375611526924473</v>
      </c>
      <c r="EA305" s="775"/>
      <c r="EB305" s="775"/>
      <c r="EC305" s="775"/>
      <c r="ED305" s="775"/>
      <c r="EE305" s="775"/>
      <c r="EF305" s="775" t="b">
        <f t="shared" si="474"/>
        <v>0</v>
      </c>
      <c r="EG305" s="775">
        <f t="shared" si="433"/>
        <v>17.936946226805549</v>
      </c>
      <c r="EH305" s="775">
        <v>45</v>
      </c>
      <c r="EI305" s="775">
        <f t="shared" si="479"/>
        <v>22.5</v>
      </c>
      <c r="EJ305" s="673">
        <f t="shared" si="434"/>
        <v>4.5630537731944516</v>
      </c>
      <c r="EK305" s="673">
        <f t="shared" si="435"/>
        <v>2.2510196371999172</v>
      </c>
      <c r="EL305" s="775" t="b">
        <f t="shared" si="436"/>
        <v>0</v>
      </c>
      <c r="EM305" s="673"/>
      <c r="EN305" s="775">
        <f t="shared" si="437"/>
        <v>4.5630537731944516</v>
      </c>
      <c r="EO305" s="775">
        <f t="shared" si="438"/>
        <v>5.68575876646846E-2</v>
      </c>
      <c r="EP305" s="775">
        <f t="shared" si="439"/>
        <v>3.8028600972428643E-3</v>
      </c>
      <c r="EQ305" s="775">
        <f t="shared" si="440"/>
        <v>5.0853295523300108</v>
      </c>
      <c r="ER305" s="775">
        <f t="shared" si="441"/>
        <v>2.5597450664844268</v>
      </c>
      <c r="ES305" s="775">
        <f t="shared" si="442"/>
        <v>4.0957447972767573</v>
      </c>
      <c r="ET305" s="775">
        <f t="shared" si="443"/>
        <v>8.053829077223682</v>
      </c>
      <c r="EU305" s="775">
        <f t="shared" si="444"/>
        <v>2.3371623420778707</v>
      </c>
      <c r="EV305" s="775">
        <f t="shared" si="445"/>
        <v>3.3305896610692733</v>
      </c>
      <c r="EW305" s="775">
        <f t="shared" si="446"/>
        <v>71.071984580855755</v>
      </c>
      <c r="EX305" s="775">
        <f t="shared" si="447"/>
        <v>11.521232586521311</v>
      </c>
      <c r="EY305" s="775">
        <f t="shared" si="475"/>
        <v>19.965672949313248</v>
      </c>
      <c r="EZ305" s="775">
        <f t="shared" si="448"/>
        <v>9.0753058860514759</v>
      </c>
      <c r="FA305" s="775">
        <f t="shared" si="449"/>
        <v>4.5630537731944516</v>
      </c>
      <c r="FB305" s="775">
        <f t="shared" si="450"/>
        <v>3.5239049035945458</v>
      </c>
      <c r="FC305" s="775"/>
      <c r="FD305" s="775"/>
      <c r="FE305" s="775"/>
      <c r="FF305" s="775"/>
      <c r="FG305" s="775"/>
      <c r="FH305" s="775"/>
      <c r="FI305" s="775"/>
      <c r="FJ305" s="775"/>
      <c r="FK305" s="775" t="b">
        <f t="shared" si="476"/>
        <v>0</v>
      </c>
      <c r="FL305" s="775">
        <f t="shared" si="451"/>
        <v>13.875611526924473</v>
      </c>
      <c r="FM305" s="775">
        <v>45</v>
      </c>
      <c r="FN305" s="775">
        <f t="shared" si="477"/>
        <v>27.5</v>
      </c>
      <c r="FO305" s="673">
        <f t="shared" si="480"/>
        <v>41.375611526924473</v>
      </c>
      <c r="FP305" s="673">
        <f t="shared" si="453"/>
        <v>31.576723317281619</v>
      </c>
      <c r="FQ305" s="775" t="b">
        <f t="shared" si="454"/>
        <v>1</v>
      </c>
      <c r="FR305" s="673"/>
      <c r="FS305" s="775">
        <f t="shared" si="455"/>
        <v>41.375611526924473</v>
      </c>
      <c r="FT305" s="775">
        <f t="shared" si="456"/>
        <v>6.5728765837073266E-2</v>
      </c>
      <c r="FU305" s="775">
        <f t="shared" si="457"/>
        <v>3.2282174872507604E-3</v>
      </c>
      <c r="FV305" s="775">
        <f t="shared" si="458"/>
        <v>9.1455582809435931</v>
      </c>
      <c r="FW305" s="775">
        <f t="shared" si="459"/>
        <v>4.5714833286845282</v>
      </c>
      <c r="FX305" s="775">
        <f t="shared" si="460"/>
        <v>62.363171359596905</v>
      </c>
      <c r="FY305" s="775">
        <f t="shared" si="461"/>
        <v>132.4726930749321</v>
      </c>
      <c r="FZ305" s="775">
        <f t="shared" si="462"/>
        <v>31.464160071123384</v>
      </c>
      <c r="GA305" s="775">
        <f t="shared" si="463"/>
        <v>48.703371040780731</v>
      </c>
      <c r="GB305" s="775">
        <f t="shared" si="464"/>
        <v>92.283187235250864</v>
      </c>
      <c r="GC305" s="775">
        <f t="shared" si="465"/>
        <v>13.333019345716346</v>
      </c>
      <c r="GD305" s="775">
        <f t="shared" si="466"/>
        <v>30.635266127003469</v>
      </c>
      <c r="GE305" s="775">
        <f t="shared" si="467"/>
        <v>13.925120966819758</v>
      </c>
      <c r="GF305" s="775">
        <f t="shared" si="468"/>
        <v>47.568674980280221</v>
      </c>
      <c r="GG305" s="775">
        <f t="shared" si="469"/>
        <v>41.375611526924473</v>
      </c>
    </row>
    <row r="306" spans="70:189">
      <c r="BR306" s="775"/>
      <c r="BS306" s="775"/>
      <c r="BT306" s="775"/>
      <c r="BU306" s="775"/>
      <c r="BV306" s="775"/>
      <c r="BW306" s="775"/>
      <c r="BX306" s="775"/>
      <c r="BY306" s="775" t="b">
        <f t="shared" si="470"/>
        <v>0</v>
      </c>
      <c r="BZ306" s="775">
        <f t="shared" si="397"/>
        <v>18.407245655891117</v>
      </c>
      <c r="CA306" s="775">
        <v>46</v>
      </c>
      <c r="CB306" s="775">
        <f t="shared" si="478"/>
        <v>23</v>
      </c>
      <c r="CC306" s="673">
        <f t="shared" si="398"/>
        <v>4.5927543441088829</v>
      </c>
      <c r="CD306" s="91">
        <f t="shared" si="396"/>
        <v>2</v>
      </c>
      <c r="CE306" s="775" t="b">
        <f t="shared" si="399"/>
        <v>0</v>
      </c>
      <c r="CF306" s="673"/>
      <c r="CG306" s="775">
        <f t="shared" si="400"/>
        <v>4.5927543441088829</v>
      </c>
      <c r="CH306" s="775">
        <f t="shared" si="401"/>
        <v>5.5646008543434058E-2</v>
      </c>
      <c r="CI306" s="775">
        <f t="shared" si="402"/>
        <v>3.7218248988797431E-3</v>
      </c>
      <c r="CJ306" s="775">
        <f t="shared" si="403"/>
        <v>5.0951307845150291</v>
      </c>
      <c r="CK306" s="775">
        <f t="shared" si="404"/>
        <v>2.5621885749663442</v>
      </c>
      <c r="CL306" s="775">
        <f t="shared" si="405"/>
        <v>4.11785918321503</v>
      </c>
      <c r="CM306" s="775">
        <f t="shared" si="406"/>
        <v>8.0973145709031282</v>
      </c>
      <c r="CN306" s="775">
        <f t="shared" si="407"/>
        <v>2.3438695699183607</v>
      </c>
      <c r="CO306" s="775">
        <f t="shared" si="408"/>
        <v>3.3398730080665948</v>
      </c>
      <c r="CP306" s="775">
        <f t="shared" si="409"/>
        <v>69.557510679292577</v>
      </c>
      <c r="CQ306" s="775">
        <f t="shared" si="410"/>
        <v>11.275726482125489</v>
      </c>
      <c r="CR306" s="775">
        <f t="shared" si="471"/>
        <v>20.400385035953271</v>
      </c>
      <c r="CS306" s="775">
        <f t="shared" si="411"/>
        <v>9.272902289069668</v>
      </c>
      <c r="CT306" s="775">
        <f t="shared" si="412"/>
        <v>4.5927543441088829</v>
      </c>
      <c r="CU306" s="775">
        <f t="shared" si="413"/>
        <v>3.5366481086016197</v>
      </c>
      <c r="CV306" s="775"/>
      <c r="CW306" s="775"/>
      <c r="CX306" s="775"/>
      <c r="CY306" s="775"/>
      <c r="CZ306" s="775"/>
      <c r="DA306" s="775"/>
      <c r="DB306" s="775"/>
      <c r="DC306" s="775"/>
      <c r="DD306" s="775" t="b">
        <f t="shared" si="472"/>
        <v>0</v>
      </c>
      <c r="DE306" s="775">
        <f t="shared" si="414"/>
        <v>15.56289408382731</v>
      </c>
      <c r="DF306" s="775">
        <v>46</v>
      </c>
      <c r="DG306" s="775">
        <f t="shared" si="473"/>
        <v>27</v>
      </c>
      <c r="DH306" s="673">
        <f t="shared" si="415"/>
        <v>42.56289408382731</v>
      </c>
      <c r="DI306" s="673">
        <f t="shared" si="416"/>
        <v>26</v>
      </c>
      <c r="DJ306" s="775" t="b">
        <f t="shared" si="417"/>
        <v>0</v>
      </c>
      <c r="DK306" s="673"/>
      <c r="DL306" s="775">
        <f t="shared" si="418"/>
        <v>42.56289408382731</v>
      </c>
      <c r="DM306" s="775">
        <f t="shared" si="419"/>
        <v>6.7052921422328701E-2</v>
      </c>
      <c r="DN306" s="775">
        <f t="shared" si="420"/>
        <v>3.2932523644726803E-3</v>
      </c>
      <c r="DO306" s="775">
        <f t="shared" si="421"/>
        <v>9.1311621389468627</v>
      </c>
      <c r="DP306" s="775">
        <f t="shared" si="422"/>
        <v>4.5679422799664593</v>
      </c>
      <c r="DQ306" s="775">
        <f t="shared" si="423"/>
        <v>51.093884496301889</v>
      </c>
      <c r="DR306" s="775">
        <f t="shared" si="424"/>
        <v>108.53432132012703</v>
      </c>
      <c r="DS306" s="775">
        <f t="shared" si="425"/>
        <v>31.369011835813986</v>
      </c>
      <c r="DT306" s="775">
        <f t="shared" si="426"/>
        <v>48.568282152788179</v>
      </c>
      <c r="DU306" s="775">
        <f t="shared" si="427"/>
        <v>94.142301676949501</v>
      </c>
      <c r="DV306" s="775">
        <f t="shared" si="428"/>
        <v>13.601623081236223</v>
      </c>
      <c r="DW306" s="775">
        <f t="shared" si="429"/>
        <v>16.929911119755882</v>
      </c>
      <c r="DX306" s="775">
        <f t="shared" si="430"/>
        <v>7.695414145343582</v>
      </c>
      <c r="DY306" s="775">
        <f t="shared" si="431"/>
        <v>42.56289408382731</v>
      </c>
      <c r="DZ306" s="775">
        <f t="shared" si="432"/>
        <v>41.307050722332633</v>
      </c>
      <c r="EA306" s="775"/>
      <c r="EB306" s="775"/>
      <c r="EC306" s="775"/>
      <c r="ED306" s="775"/>
      <c r="EE306" s="775"/>
      <c r="EF306" s="775" t="b">
        <f t="shared" si="474"/>
        <v>0</v>
      </c>
      <c r="EG306" s="775">
        <f t="shared" si="433"/>
        <v>18.407245655891117</v>
      </c>
      <c r="EH306" s="775">
        <v>46</v>
      </c>
      <c r="EI306" s="775">
        <f t="shared" si="479"/>
        <v>23</v>
      </c>
      <c r="EJ306" s="673">
        <f t="shared" si="434"/>
        <v>4.5927543441088829</v>
      </c>
      <c r="EK306" s="673">
        <f t="shared" si="435"/>
        <v>2.2510196371999172</v>
      </c>
      <c r="EL306" s="775" t="b">
        <f t="shared" si="436"/>
        <v>0</v>
      </c>
      <c r="EM306" s="673"/>
      <c r="EN306" s="775">
        <f t="shared" si="437"/>
        <v>4.5927543441088829</v>
      </c>
      <c r="EO306" s="775">
        <f t="shared" si="438"/>
        <v>5.5646008543434058E-2</v>
      </c>
      <c r="EP306" s="775">
        <f t="shared" si="439"/>
        <v>3.7218248988797431E-3</v>
      </c>
      <c r="EQ306" s="775">
        <f t="shared" si="440"/>
        <v>5.0951307845150291</v>
      </c>
      <c r="ER306" s="775">
        <f t="shared" si="441"/>
        <v>2.5621885749663442</v>
      </c>
      <c r="ES306" s="775">
        <f t="shared" si="442"/>
        <v>4.11785918321503</v>
      </c>
      <c r="ET306" s="775">
        <f t="shared" si="443"/>
        <v>8.0973145709031282</v>
      </c>
      <c r="EU306" s="775">
        <f t="shared" si="444"/>
        <v>2.3438695699183607</v>
      </c>
      <c r="EV306" s="775">
        <f t="shared" si="445"/>
        <v>3.3398730080665948</v>
      </c>
      <c r="EW306" s="775">
        <f t="shared" si="446"/>
        <v>69.557510679292577</v>
      </c>
      <c r="EX306" s="775">
        <f t="shared" si="447"/>
        <v>11.275726482125489</v>
      </c>
      <c r="EY306" s="775">
        <f t="shared" si="475"/>
        <v>20.400385035953271</v>
      </c>
      <c r="EZ306" s="775">
        <f t="shared" si="448"/>
        <v>9.272902289069668</v>
      </c>
      <c r="FA306" s="775">
        <f t="shared" si="449"/>
        <v>4.5927543441088829</v>
      </c>
      <c r="FB306" s="775">
        <f t="shared" si="450"/>
        <v>3.5366481086016197</v>
      </c>
      <c r="FC306" s="775"/>
      <c r="FD306" s="775"/>
      <c r="FE306" s="775"/>
      <c r="FF306" s="775"/>
      <c r="FG306" s="775"/>
      <c r="FH306" s="775"/>
      <c r="FI306" s="775"/>
      <c r="FJ306" s="775"/>
      <c r="FK306" s="775" t="b">
        <f t="shared" si="476"/>
        <v>0</v>
      </c>
      <c r="FL306" s="775">
        <f t="shared" si="451"/>
        <v>14.307050722332633</v>
      </c>
      <c r="FM306" s="775">
        <v>46</v>
      </c>
      <c r="FN306" s="775">
        <f t="shared" si="477"/>
        <v>27</v>
      </c>
      <c r="FO306" s="673">
        <f t="shared" si="480"/>
        <v>41.307050722332633</v>
      </c>
      <c r="FP306" s="673">
        <f t="shared" si="453"/>
        <v>31.576723317281619</v>
      </c>
      <c r="FQ306" s="775" t="b">
        <f t="shared" si="454"/>
        <v>1</v>
      </c>
      <c r="FR306" s="673"/>
      <c r="FS306" s="775">
        <f t="shared" si="455"/>
        <v>41.307050722332633</v>
      </c>
      <c r="FT306" s="775">
        <f t="shared" si="456"/>
        <v>6.7052921422328701E-2</v>
      </c>
      <c r="FU306" s="775">
        <f t="shared" si="457"/>
        <v>3.2932523644726803E-3</v>
      </c>
      <c r="FV306" s="775">
        <f t="shared" si="458"/>
        <v>9.1311621389468627</v>
      </c>
      <c r="FW306" s="775">
        <f t="shared" si="459"/>
        <v>4.5679422799664593</v>
      </c>
      <c r="FX306" s="775">
        <f t="shared" si="460"/>
        <v>62.052978997879599</v>
      </c>
      <c r="FY306" s="775">
        <f t="shared" si="461"/>
        <v>131.81377825979195</v>
      </c>
      <c r="FZ306" s="775">
        <f t="shared" si="462"/>
        <v>31.369011835813986</v>
      </c>
      <c r="GA306" s="775">
        <f t="shared" si="463"/>
        <v>48.568282152788179</v>
      </c>
      <c r="GB306" s="775">
        <f t="shared" si="464"/>
        <v>94.142301676949501</v>
      </c>
      <c r="GC306" s="775">
        <f t="shared" si="465"/>
        <v>13.601623081236223</v>
      </c>
      <c r="GD306" s="775">
        <f t="shared" si="466"/>
        <v>30.030283407572696</v>
      </c>
      <c r="GE306" s="775">
        <f t="shared" si="467"/>
        <v>13.650128821623952</v>
      </c>
      <c r="GF306" s="775">
        <f t="shared" si="468"/>
        <v>47.442594495217008</v>
      </c>
      <c r="GG306" s="775">
        <f t="shared" si="469"/>
        <v>41.307050722332633</v>
      </c>
    </row>
    <row r="307" spans="70:189">
      <c r="BR307" s="775"/>
      <c r="BS307" s="775"/>
      <c r="BT307" s="775"/>
      <c r="BU307" s="775"/>
      <c r="BV307" s="775"/>
      <c r="BW307" s="775"/>
      <c r="BX307" s="775"/>
      <c r="BY307" s="775" t="b">
        <f t="shared" si="470"/>
        <v>0</v>
      </c>
      <c r="BZ307" s="775">
        <f t="shared" si="397"/>
        <v>18.878046666571962</v>
      </c>
      <c r="CA307" s="775">
        <v>47</v>
      </c>
      <c r="CB307" s="775">
        <f t="shared" si="478"/>
        <v>23.5</v>
      </c>
      <c r="CC307" s="673">
        <f t="shared" si="398"/>
        <v>4.6219533334280403</v>
      </c>
      <c r="CD307" s="91">
        <f t="shared" si="396"/>
        <v>2</v>
      </c>
      <c r="CE307" s="775" t="b">
        <f t="shared" si="399"/>
        <v>0</v>
      </c>
      <c r="CF307" s="673"/>
      <c r="CG307" s="775">
        <f t="shared" si="400"/>
        <v>4.6219533334280403</v>
      </c>
      <c r="CH307" s="775">
        <f t="shared" si="401"/>
        <v>5.4485481394370719E-2</v>
      </c>
      <c r="CI307" s="775">
        <f t="shared" si="402"/>
        <v>3.6442042581137759E-3</v>
      </c>
      <c r="CJ307" s="775">
        <f t="shared" si="403"/>
        <v>5.1045652165506059</v>
      </c>
      <c r="CK307" s="775">
        <f t="shared" si="404"/>
        <v>2.5645356956975851</v>
      </c>
      <c r="CL307" s="775">
        <f t="shared" si="405"/>
        <v>4.1396135284714779</v>
      </c>
      <c r="CM307" s="775">
        <f t="shared" si="406"/>
        <v>8.1400920844090567</v>
      </c>
      <c r="CN307" s="775">
        <f t="shared" si="407"/>
        <v>2.3504491948543045</v>
      </c>
      <c r="CO307" s="775">
        <f t="shared" si="408"/>
        <v>3.3489802127151216</v>
      </c>
      <c r="CP307" s="775">
        <f t="shared" si="409"/>
        <v>68.1068517429634</v>
      </c>
      <c r="CQ307" s="775">
        <f t="shared" si="410"/>
        <v>11.040565200113589</v>
      </c>
      <c r="CR307" s="775">
        <f t="shared" si="471"/>
        <v>20.834908143388187</v>
      </c>
      <c r="CS307" s="775">
        <f t="shared" si="411"/>
        <v>9.4704127924491743</v>
      </c>
      <c r="CT307" s="775">
        <f t="shared" si="412"/>
        <v>4.6219533334280403</v>
      </c>
      <c r="CU307" s="775">
        <f t="shared" si="413"/>
        <v>3.5491462530829487</v>
      </c>
      <c r="CV307" s="775"/>
      <c r="CW307" s="775"/>
      <c r="CX307" s="775"/>
      <c r="CY307" s="775"/>
      <c r="CZ307" s="775"/>
      <c r="DA307" s="775"/>
      <c r="DB307" s="775"/>
      <c r="DC307" s="775"/>
      <c r="DD307" s="775" t="b">
        <f t="shared" si="472"/>
        <v>0</v>
      </c>
      <c r="DE307" s="775">
        <f t="shared" si="414"/>
        <v>15.93664581039458</v>
      </c>
      <c r="DF307" s="775">
        <v>47</v>
      </c>
      <c r="DG307" s="775">
        <f t="shared" si="473"/>
        <v>26.5</v>
      </c>
      <c r="DH307" s="673">
        <f t="shared" si="415"/>
        <v>42.43664581039458</v>
      </c>
      <c r="DI307" s="673">
        <f t="shared" si="416"/>
        <v>26</v>
      </c>
      <c r="DJ307" s="775" t="b">
        <f t="shared" si="417"/>
        <v>0</v>
      </c>
      <c r="DK307" s="673"/>
      <c r="DL307" s="775">
        <f t="shared" si="418"/>
        <v>42.43664581039458</v>
      </c>
      <c r="DM307" s="775">
        <f t="shared" si="419"/>
        <v>6.8429261179041495E-2</v>
      </c>
      <c r="DN307" s="775">
        <f t="shared" si="420"/>
        <v>3.3608502269067962E-3</v>
      </c>
      <c r="DO307" s="775">
        <f t="shared" si="421"/>
        <v>9.1162609391238085</v>
      </c>
      <c r="DP307" s="775">
        <f t="shared" si="422"/>
        <v>4.5642703881821651</v>
      </c>
      <c r="DQ307" s="775">
        <f t="shared" si="423"/>
        <v>50.835006710144647</v>
      </c>
      <c r="DR307" s="775">
        <f t="shared" si="424"/>
        <v>107.98440962125299</v>
      </c>
      <c r="DS307" s="775">
        <f t="shared" si="425"/>
        <v>31.272313361496078</v>
      </c>
      <c r="DT307" s="775">
        <f t="shared" si="426"/>
        <v>48.430990675051589</v>
      </c>
      <c r="DU307" s="775">
        <f t="shared" si="427"/>
        <v>96.074682695374264</v>
      </c>
      <c r="DV307" s="775">
        <f t="shared" si="428"/>
        <v>13.880812327661717</v>
      </c>
      <c r="DW307" s="775">
        <f t="shared" si="429"/>
        <v>16.589394367853981</v>
      </c>
      <c r="DX307" s="775">
        <f t="shared" si="430"/>
        <v>7.5406338035699907</v>
      </c>
      <c r="DY307" s="775">
        <f t="shared" si="431"/>
        <v>42.43664581039458</v>
      </c>
      <c r="DZ307" s="775">
        <f t="shared" si="432"/>
        <v>41.237207549778255</v>
      </c>
      <c r="EA307" s="775"/>
      <c r="EB307" s="775"/>
      <c r="EC307" s="775"/>
      <c r="ED307" s="775"/>
      <c r="EE307" s="775"/>
      <c r="EF307" s="775" t="b">
        <f t="shared" si="474"/>
        <v>0</v>
      </c>
      <c r="EG307" s="775">
        <f t="shared" si="433"/>
        <v>18.878046666571962</v>
      </c>
      <c r="EH307" s="775">
        <v>47</v>
      </c>
      <c r="EI307" s="775">
        <f t="shared" si="479"/>
        <v>23.5</v>
      </c>
      <c r="EJ307" s="673">
        <f t="shared" si="434"/>
        <v>4.6219533334280403</v>
      </c>
      <c r="EK307" s="673">
        <f t="shared" si="435"/>
        <v>2.2510196371999172</v>
      </c>
      <c r="EL307" s="775" t="b">
        <f t="shared" si="436"/>
        <v>0</v>
      </c>
      <c r="EM307" s="673"/>
      <c r="EN307" s="775">
        <f t="shared" si="437"/>
        <v>4.6219533334280403</v>
      </c>
      <c r="EO307" s="775">
        <f t="shared" si="438"/>
        <v>5.4485481394370719E-2</v>
      </c>
      <c r="EP307" s="775">
        <f t="shared" si="439"/>
        <v>3.6442042581137759E-3</v>
      </c>
      <c r="EQ307" s="775">
        <f t="shared" si="440"/>
        <v>5.1045652165506059</v>
      </c>
      <c r="ER307" s="775">
        <f t="shared" si="441"/>
        <v>2.5645356956975851</v>
      </c>
      <c r="ES307" s="775">
        <f t="shared" si="442"/>
        <v>4.1396135284714779</v>
      </c>
      <c r="ET307" s="775">
        <f t="shared" si="443"/>
        <v>8.1400920844090567</v>
      </c>
      <c r="EU307" s="775">
        <f t="shared" si="444"/>
        <v>2.3504491948543045</v>
      </c>
      <c r="EV307" s="775">
        <f t="shared" si="445"/>
        <v>3.3489802127151216</v>
      </c>
      <c r="EW307" s="775">
        <f t="shared" si="446"/>
        <v>68.1068517429634</v>
      </c>
      <c r="EX307" s="775">
        <f t="shared" si="447"/>
        <v>11.040565200113589</v>
      </c>
      <c r="EY307" s="775">
        <f t="shared" si="475"/>
        <v>20.834908143388187</v>
      </c>
      <c r="EZ307" s="775">
        <f t="shared" si="448"/>
        <v>9.4704127924491743</v>
      </c>
      <c r="FA307" s="775">
        <f t="shared" si="449"/>
        <v>4.6219533334280403</v>
      </c>
      <c r="FB307" s="775">
        <f t="shared" si="450"/>
        <v>3.5491462530829487</v>
      </c>
      <c r="FC307" s="775"/>
      <c r="FD307" s="775"/>
      <c r="FE307" s="775"/>
      <c r="FF307" s="775"/>
      <c r="FG307" s="775"/>
      <c r="FH307" s="775"/>
      <c r="FI307" s="775"/>
      <c r="FJ307" s="775"/>
      <c r="FK307" s="775" t="b">
        <f t="shared" si="476"/>
        <v>0</v>
      </c>
      <c r="FL307" s="775">
        <f t="shared" si="451"/>
        <v>14.737207549778255</v>
      </c>
      <c r="FM307" s="775">
        <v>47</v>
      </c>
      <c r="FN307" s="775">
        <f t="shared" si="477"/>
        <v>26.5</v>
      </c>
      <c r="FO307" s="673">
        <f t="shared" si="480"/>
        <v>41.237207549778255</v>
      </c>
      <c r="FP307" s="673">
        <f t="shared" si="453"/>
        <v>31.576723317281619</v>
      </c>
      <c r="FQ307" s="775" t="b">
        <f t="shared" si="454"/>
        <v>1</v>
      </c>
      <c r="FR307" s="673"/>
      <c r="FS307" s="775">
        <f t="shared" si="455"/>
        <v>41.237207549778255</v>
      </c>
      <c r="FT307" s="775">
        <f t="shared" si="456"/>
        <v>6.8429261179041495E-2</v>
      </c>
      <c r="FU307" s="775">
        <f t="shared" si="457"/>
        <v>3.3608502269067962E-3</v>
      </c>
      <c r="FV307" s="775">
        <f t="shared" si="458"/>
        <v>9.1162609391238085</v>
      </c>
      <c r="FW307" s="775">
        <f t="shared" si="459"/>
        <v>4.5642703881821651</v>
      </c>
      <c r="FX307" s="775">
        <f t="shared" si="460"/>
        <v>61.738574681476621</v>
      </c>
      <c r="FY307" s="775">
        <f t="shared" si="461"/>
        <v>131.14591635347341</v>
      </c>
      <c r="FZ307" s="775">
        <f t="shared" si="462"/>
        <v>31.272313361496078</v>
      </c>
      <c r="GA307" s="775">
        <f t="shared" si="463"/>
        <v>48.430990675051589</v>
      </c>
      <c r="GB307" s="775">
        <f t="shared" si="464"/>
        <v>96.074682695374264</v>
      </c>
      <c r="GC307" s="775">
        <f t="shared" si="465"/>
        <v>13.880812327661717</v>
      </c>
      <c r="GD307" s="775">
        <f t="shared" si="466"/>
        <v>29.426274650981679</v>
      </c>
      <c r="GE307" s="775">
        <f t="shared" si="467"/>
        <v>13.375579386809854</v>
      </c>
      <c r="GF307" s="775">
        <f t="shared" si="468"/>
        <v>47.314181738996226</v>
      </c>
      <c r="GG307" s="775">
        <f t="shared" si="469"/>
        <v>41.237207549778255</v>
      </c>
    </row>
    <row r="308" spans="70:189">
      <c r="BR308" s="775"/>
      <c r="BS308" s="775"/>
      <c r="BT308" s="775"/>
      <c r="BU308" s="775"/>
      <c r="BV308" s="775"/>
      <c r="BW308" s="775"/>
      <c r="BX308" s="775"/>
      <c r="BY308" s="775" t="b">
        <f t="shared" si="470"/>
        <v>0</v>
      </c>
      <c r="BZ308" s="775">
        <f t="shared" si="397"/>
        <v>19.349330467791919</v>
      </c>
      <c r="CA308" s="775">
        <v>48</v>
      </c>
      <c r="CB308" s="775">
        <f t="shared" si="478"/>
        <v>24</v>
      </c>
      <c r="CC308" s="673">
        <f t="shared" si="398"/>
        <v>4.6506695322080809</v>
      </c>
      <c r="CD308" s="91">
        <f t="shared" si="396"/>
        <v>2</v>
      </c>
      <c r="CE308" s="775" t="b">
        <f t="shared" si="399"/>
        <v>0</v>
      </c>
      <c r="CF308" s="673"/>
      <c r="CG308" s="775">
        <f t="shared" si="400"/>
        <v>4.6506695322080809</v>
      </c>
      <c r="CH308" s="775">
        <f t="shared" si="401"/>
        <v>5.3372836071016082E-2</v>
      </c>
      <c r="CI308" s="775">
        <f t="shared" si="402"/>
        <v>3.5697861430237939E-3</v>
      </c>
      <c r="CJ308" s="775">
        <f t="shared" si="403"/>
        <v>5.1136531664026057</v>
      </c>
      <c r="CK308" s="775">
        <f t="shared" si="404"/>
        <v>2.5667920446545178</v>
      </c>
      <c r="CL308" s="775">
        <f t="shared" si="405"/>
        <v>4.1610211717282315</v>
      </c>
      <c r="CM308" s="775">
        <f t="shared" si="406"/>
        <v>8.1821878467843678</v>
      </c>
      <c r="CN308" s="775">
        <f t="shared" si="407"/>
        <v>2.3569062862525758</v>
      </c>
      <c r="CO308" s="775">
        <f t="shared" si="408"/>
        <v>3.3579182631518734</v>
      </c>
      <c r="CP308" s="775">
        <f t="shared" si="409"/>
        <v>66.716045088770102</v>
      </c>
      <c r="CQ308" s="775">
        <f t="shared" si="410"/>
        <v>10.815106363691021</v>
      </c>
      <c r="CR308" s="775">
        <f t="shared" si="471"/>
        <v>21.269246372621861</v>
      </c>
      <c r="CS308" s="775">
        <f t="shared" si="411"/>
        <v>9.6678392602826637</v>
      </c>
      <c r="CT308" s="775">
        <f t="shared" si="412"/>
        <v>4.6506695322080809</v>
      </c>
      <c r="CU308" s="775">
        <f t="shared" si="413"/>
        <v>3.5614091126162855</v>
      </c>
      <c r="CV308" s="775"/>
      <c r="CW308" s="775"/>
      <c r="CX308" s="775"/>
      <c r="CY308" s="775"/>
      <c r="CZ308" s="775"/>
      <c r="DA308" s="775"/>
      <c r="DB308" s="775"/>
      <c r="DC308" s="775"/>
      <c r="DD308" s="775" t="b">
        <f t="shared" si="472"/>
        <v>0</v>
      </c>
      <c r="DE308" s="775">
        <f t="shared" si="414"/>
        <v>16.308082867679701</v>
      </c>
      <c r="DF308" s="775">
        <v>48</v>
      </c>
      <c r="DG308" s="775">
        <f t="shared" si="473"/>
        <v>26</v>
      </c>
      <c r="DH308" s="673">
        <f t="shared" si="415"/>
        <v>42.308082867679701</v>
      </c>
      <c r="DI308" s="673">
        <f t="shared" si="416"/>
        <v>26</v>
      </c>
      <c r="DJ308" s="775" t="b">
        <f t="shared" si="417"/>
        <v>0</v>
      </c>
      <c r="DK308" s="673"/>
      <c r="DL308" s="775">
        <f t="shared" si="418"/>
        <v>42.308082867679701</v>
      </c>
      <c r="DM308" s="775">
        <f t="shared" si="419"/>
        <v>6.9860885601271794E-2</v>
      </c>
      <c r="DN308" s="775">
        <f t="shared" si="420"/>
        <v>3.4311633529203749E-3</v>
      </c>
      <c r="DO308" s="775">
        <f t="shared" si="421"/>
        <v>9.1008280942845712</v>
      </c>
      <c r="DP308" s="775">
        <f t="shared" si="422"/>
        <v>4.560460384161682</v>
      </c>
      <c r="DQ308" s="775">
        <f t="shared" si="423"/>
        <v>50.572546953939941</v>
      </c>
      <c r="DR308" s="775">
        <f t="shared" si="424"/>
        <v>107.42688905309998</v>
      </c>
      <c r="DS308" s="775">
        <f t="shared" si="425"/>
        <v>31.174009476936607</v>
      </c>
      <c r="DT308" s="775">
        <f t="shared" si="426"/>
        <v>48.291418062295364</v>
      </c>
      <c r="DU308" s="775">
        <f t="shared" si="427"/>
        <v>98.084683384185595</v>
      </c>
      <c r="DV308" s="775">
        <f t="shared" si="428"/>
        <v>14.171216017344724</v>
      </c>
      <c r="DW308" s="775">
        <f t="shared" si="429"/>
        <v>16.249436150567981</v>
      </c>
      <c r="DX308" s="775">
        <f t="shared" si="430"/>
        <v>7.3861073411672633</v>
      </c>
      <c r="DY308" s="775">
        <f t="shared" si="431"/>
        <v>42.308082867679701</v>
      </c>
      <c r="DZ308" s="775">
        <f t="shared" si="432"/>
        <v>41.166033318609031</v>
      </c>
      <c r="EA308" s="775"/>
      <c r="EB308" s="775"/>
      <c r="EC308" s="775"/>
      <c r="ED308" s="775"/>
      <c r="EE308" s="775"/>
      <c r="EF308" s="775" t="b">
        <f t="shared" si="474"/>
        <v>0</v>
      </c>
      <c r="EG308" s="775">
        <f t="shared" si="433"/>
        <v>19.349330467791919</v>
      </c>
      <c r="EH308" s="775">
        <v>48</v>
      </c>
      <c r="EI308" s="775">
        <f t="shared" si="479"/>
        <v>24</v>
      </c>
      <c r="EJ308" s="673">
        <f t="shared" si="434"/>
        <v>4.6506695322080809</v>
      </c>
      <c r="EK308" s="673">
        <f t="shared" si="435"/>
        <v>2.2510196371999172</v>
      </c>
      <c r="EL308" s="775" t="b">
        <f t="shared" si="436"/>
        <v>0</v>
      </c>
      <c r="EM308" s="673"/>
      <c r="EN308" s="775">
        <f t="shared" si="437"/>
        <v>4.6506695322080809</v>
      </c>
      <c r="EO308" s="775">
        <f t="shared" si="438"/>
        <v>5.3372836071016082E-2</v>
      </c>
      <c r="EP308" s="775">
        <f t="shared" si="439"/>
        <v>3.5697861430237939E-3</v>
      </c>
      <c r="EQ308" s="775">
        <f t="shared" si="440"/>
        <v>5.1136531664026057</v>
      </c>
      <c r="ER308" s="775">
        <f t="shared" si="441"/>
        <v>2.5667920446545178</v>
      </c>
      <c r="ES308" s="775">
        <f t="shared" si="442"/>
        <v>4.1610211717282315</v>
      </c>
      <c r="ET308" s="775">
        <f t="shared" si="443"/>
        <v>8.1821878467843678</v>
      </c>
      <c r="EU308" s="775">
        <f t="shared" si="444"/>
        <v>2.3569062862525758</v>
      </c>
      <c r="EV308" s="775">
        <f t="shared" si="445"/>
        <v>3.3579182631518734</v>
      </c>
      <c r="EW308" s="775">
        <f t="shared" si="446"/>
        <v>66.716045088770102</v>
      </c>
      <c r="EX308" s="775">
        <f t="shared" si="447"/>
        <v>10.815106363691021</v>
      </c>
      <c r="EY308" s="775">
        <f t="shared" si="475"/>
        <v>21.269246372621861</v>
      </c>
      <c r="EZ308" s="775">
        <f t="shared" si="448"/>
        <v>9.6678392602826637</v>
      </c>
      <c r="FA308" s="775">
        <f t="shared" si="449"/>
        <v>4.6506695322080809</v>
      </c>
      <c r="FB308" s="775">
        <f t="shared" si="450"/>
        <v>3.5614091126162855</v>
      </c>
      <c r="FC308" s="775"/>
      <c r="FD308" s="775"/>
      <c r="FE308" s="775"/>
      <c r="FF308" s="775"/>
      <c r="FG308" s="775"/>
      <c r="FH308" s="775"/>
      <c r="FI308" s="775"/>
      <c r="FJ308" s="775"/>
      <c r="FK308" s="775" t="b">
        <f t="shared" si="476"/>
        <v>0</v>
      </c>
      <c r="FL308" s="775">
        <f t="shared" si="451"/>
        <v>15.166033318609031</v>
      </c>
      <c r="FM308" s="775">
        <v>48</v>
      </c>
      <c r="FN308" s="775">
        <f t="shared" si="477"/>
        <v>26</v>
      </c>
      <c r="FO308" s="673">
        <f t="shared" si="480"/>
        <v>41.166033318609031</v>
      </c>
      <c r="FP308" s="673">
        <f t="shared" si="453"/>
        <v>31.576723317281619</v>
      </c>
      <c r="FQ308" s="775" t="b">
        <f t="shared" si="454"/>
        <v>1</v>
      </c>
      <c r="FR308" s="673"/>
      <c r="FS308" s="775">
        <f t="shared" si="455"/>
        <v>41.166033318609031</v>
      </c>
      <c r="FT308" s="775">
        <f t="shared" si="456"/>
        <v>6.9860885601271794E-2</v>
      </c>
      <c r="FU308" s="775">
        <f t="shared" si="457"/>
        <v>3.4311633529203749E-3</v>
      </c>
      <c r="FV308" s="775">
        <f t="shared" si="458"/>
        <v>9.1008280942845712</v>
      </c>
      <c r="FW308" s="775">
        <f t="shared" si="459"/>
        <v>4.560460384161682</v>
      </c>
      <c r="FX308" s="775">
        <f t="shared" si="460"/>
        <v>61.419820100569034</v>
      </c>
      <c r="FY308" s="775">
        <f t="shared" si="461"/>
        <v>130.46881355638646</v>
      </c>
      <c r="FZ308" s="775">
        <f t="shared" si="462"/>
        <v>31.174009476936607</v>
      </c>
      <c r="GA308" s="775">
        <f t="shared" si="463"/>
        <v>48.291418062295364</v>
      </c>
      <c r="GB308" s="775">
        <f t="shared" si="464"/>
        <v>98.084683384185595</v>
      </c>
      <c r="GC308" s="775">
        <f t="shared" si="465"/>
        <v>14.171216017344724</v>
      </c>
      <c r="GD308" s="775">
        <f t="shared" si="466"/>
        <v>28.823256623325371</v>
      </c>
      <c r="GE308" s="775">
        <f t="shared" si="467"/>
        <v>13.101480283329712</v>
      </c>
      <c r="GF308" s="775">
        <f t="shared" si="468"/>
        <v>47.183350023446422</v>
      </c>
      <c r="GG308" s="775">
        <f t="shared" si="469"/>
        <v>41.166033318609031</v>
      </c>
    </row>
    <row r="309" spans="70:189">
      <c r="BR309" s="775"/>
      <c r="BS309" s="775"/>
      <c r="BT309" s="775"/>
      <c r="BU309" s="775"/>
      <c r="BV309" s="775"/>
      <c r="BW309" s="775"/>
      <c r="BX309" s="775"/>
      <c r="BY309" s="775" t="b">
        <f t="shared" si="470"/>
        <v>0</v>
      </c>
      <c r="BZ309" s="775">
        <f t="shared" si="397"/>
        <v>19.821079345357475</v>
      </c>
      <c r="CA309" s="775">
        <v>49</v>
      </c>
      <c r="CB309" s="775">
        <f t="shared" si="478"/>
        <v>24.5</v>
      </c>
      <c r="CC309" s="673">
        <f t="shared" si="398"/>
        <v>4.6789206546425239</v>
      </c>
      <c r="CD309" s="91">
        <f t="shared" si="396"/>
        <v>2</v>
      </c>
      <c r="CE309" s="775" t="b">
        <f t="shared" si="399"/>
        <v>0</v>
      </c>
      <c r="CF309" s="673"/>
      <c r="CG309" s="775">
        <f t="shared" si="400"/>
        <v>4.6789206546425239</v>
      </c>
      <c r="CH309" s="775">
        <f t="shared" si="401"/>
        <v>5.2305159973911296E-2</v>
      </c>
      <c r="CI309" s="775">
        <f t="shared" si="402"/>
        <v>3.4983757474508267E-3</v>
      </c>
      <c r="CJ309" s="775">
        <f t="shared" si="403"/>
        <v>5.122413473649714</v>
      </c>
      <c r="CK309" s="775">
        <f t="shared" si="404"/>
        <v>2.5689628088301553</v>
      </c>
      <c r="CL309" s="775">
        <f t="shared" si="405"/>
        <v>4.1820946919264257</v>
      </c>
      <c r="CM309" s="775">
        <f t="shared" si="406"/>
        <v>8.2236265931253314</v>
      </c>
      <c r="CN309" s="775">
        <f t="shared" si="407"/>
        <v>2.3632456115194227</v>
      </c>
      <c r="CO309" s="775">
        <f t="shared" si="408"/>
        <v>3.3666937316393608</v>
      </c>
      <c r="CP309" s="775">
        <f t="shared" si="409"/>
        <v>65.381449967389116</v>
      </c>
      <c r="CQ309" s="775">
        <f t="shared" si="410"/>
        <v>10.598759783629307</v>
      </c>
      <c r="CR309" s="775">
        <f t="shared" si="471"/>
        <v>21.703403652072065</v>
      </c>
      <c r="CS309" s="775">
        <f t="shared" si="411"/>
        <v>9.8651834782145738</v>
      </c>
      <c r="CT309" s="775">
        <f t="shared" si="412"/>
        <v>4.6789206546425239</v>
      </c>
      <c r="CU309" s="775">
        <f t="shared" si="413"/>
        <v>3.5734458790829513</v>
      </c>
      <c r="CV309" s="775"/>
      <c r="CW309" s="775"/>
      <c r="CX309" s="775"/>
      <c r="CY309" s="775"/>
      <c r="CZ309" s="775"/>
      <c r="DA309" s="775"/>
      <c r="DB309" s="775"/>
      <c r="DC309" s="775"/>
      <c r="DD309" s="775" t="b">
        <f t="shared" si="472"/>
        <v>0</v>
      </c>
      <c r="DE309" s="775">
        <f t="shared" si="414"/>
        <v>16.677118797902267</v>
      </c>
      <c r="DF309" s="775">
        <v>49</v>
      </c>
      <c r="DG309" s="775">
        <f t="shared" si="473"/>
        <v>25.5</v>
      </c>
      <c r="DH309" s="673">
        <f t="shared" si="415"/>
        <v>42.177118797902267</v>
      </c>
      <c r="DI309" s="673">
        <f t="shared" si="416"/>
        <v>26</v>
      </c>
      <c r="DJ309" s="775" t="b">
        <f t="shared" si="417"/>
        <v>1</v>
      </c>
      <c r="DK309" s="673"/>
      <c r="DL309" s="775">
        <f t="shared" si="418"/>
        <v>42.177118797902267</v>
      </c>
      <c r="DM309" s="775">
        <f t="shared" si="419"/>
        <v>7.1351143856872246E-2</v>
      </c>
      <c r="DN309" s="775">
        <f t="shared" si="420"/>
        <v>3.5043562343016299E-3</v>
      </c>
      <c r="DO309" s="775">
        <f t="shared" si="421"/>
        <v>9.0848351356084986</v>
      </c>
      <c r="DP309" s="775">
        <f t="shared" si="422"/>
        <v>4.5565044548610345</v>
      </c>
      <c r="DQ309" s="775">
        <f t="shared" si="423"/>
        <v>50.306385326548721</v>
      </c>
      <c r="DR309" s="775">
        <f t="shared" si="424"/>
        <v>106.86150492004469</v>
      </c>
      <c r="DS309" s="775">
        <f t="shared" si="425"/>
        <v>31.074041941365156</v>
      </c>
      <c r="DT309" s="775">
        <f t="shared" si="426"/>
        <v>48.149481390084951</v>
      </c>
      <c r="DU309" s="775">
        <f t="shared" si="427"/>
        <v>100.17700597504863</v>
      </c>
      <c r="DV309" s="775">
        <f t="shared" si="428"/>
        <v>14.473513525885911</v>
      </c>
      <c r="DW309" s="775">
        <f t="shared" si="429"/>
        <v>15.91004626747357</v>
      </c>
      <c r="DX309" s="775">
        <f t="shared" si="430"/>
        <v>7.2318392124879853</v>
      </c>
      <c r="DY309" s="775">
        <f t="shared" si="431"/>
        <v>42.177118797902267</v>
      </c>
      <c r="DZ309" s="775">
        <f t="shared" si="432"/>
        <v>41.093476511730245</v>
      </c>
      <c r="EA309" s="775"/>
      <c r="EB309" s="775"/>
      <c r="EC309" s="775"/>
      <c r="ED309" s="775"/>
      <c r="EE309" s="775"/>
      <c r="EF309" s="775" t="b">
        <f t="shared" si="474"/>
        <v>0</v>
      </c>
      <c r="EG309" s="775">
        <f t="shared" si="433"/>
        <v>19.821079345357475</v>
      </c>
      <c r="EH309" s="775">
        <v>49</v>
      </c>
      <c r="EI309" s="775">
        <f t="shared" si="479"/>
        <v>24.5</v>
      </c>
      <c r="EJ309" s="673">
        <f t="shared" si="434"/>
        <v>4.6789206546425239</v>
      </c>
      <c r="EK309" s="673">
        <f t="shared" si="435"/>
        <v>2.2510196371999172</v>
      </c>
      <c r="EL309" s="775" t="b">
        <f t="shared" si="436"/>
        <v>0</v>
      </c>
      <c r="EM309" s="673"/>
      <c r="EN309" s="775">
        <f t="shared" si="437"/>
        <v>4.6789206546425239</v>
      </c>
      <c r="EO309" s="775">
        <f t="shared" si="438"/>
        <v>5.2305159973911296E-2</v>
      </c>
      <c r="EP309" s="775">
        <f t="shared" si="439"/>
        <v>3.4983757474508267E-3</v>
      </c>
      <c r="EQ309" s="775">
        <f t="shared" si="440"/>
        <v>5.122413473649714</v>
      </c>
      <c r="ER309" s="775">
        <f t="shared" si="441"/>
        <v>2.5689628088301553</v>
      </c>
      <c r="ES309" s="775">
        <f t="shared" si="442"/>
        <v>4.1820946919264257</v>
      </c>
      <c r="ET309" s="775">
        <f t="shared" si="443"/>
        <v>8.2236265931253314</v>
      </c>
      <c r="EU309" s="775">
        <f t="shared" si="444"/>
        <v>2.3632456115194227</v>
      </c>
      <c r="EV309" s="775">
        <f t="shared" si="445"/>
        <v>3.3666937316393608</v>
      </c>
      <c r="EW309" s="775">
        <f t="shared" si="446"/>
        <v>65.381449967389116</v>
      </c>
      <c r="EX309" s="775">
        <f t="shared" si="447"/>
        <v>10.598759783629307</v>
      </c>
      <c r="EY309" s="775">
        <f t="shared" si="475"/>
        <v>21.703403652072065</v>
      </c>
      <c r="EZ309" s="775">
        <f t="shared" si="448"/>
        <v>9.8651834782145738</v>
      </c>
      <c r="FA309" s="775">
        <f t="shared" si="449"/>
        <v>4.6789206546425239</v>
      </c>
      <c r="FB309" s="775">
        <f t="shared" si="450"/>
        <v>3.5734458790829513</v>
      </c>
      <c r="FC309" s="775"/>
      <c r="FD309" s="775"/>
      <c r="FE309" s="775"/>
      <c r="FF309" s="775"/>
      <c r="FG309" s="775"/>
      <c r="FH309" s="775"/>
      <c r="FI309" s="775"/>
      <c r="FJ309" s="775"/>
      <c r="FK309" s="775" t="b">
        <f t="shared" si="476"/>
        <v>0</v>
      </c>
      <c r="FL309" s="775">
        <f t="shared" si="451"/>
        <v>15.593476511730245</v>
      </c>
      <c r="FM309" s="775">
        <v>49</v>
      </c>
      <c r="FN309" s="775">
        <f t="shared" si="477"/>
        <v>25.5</v>
      </c>
      <c r="FO309" s="673">
        <f t="shared" si="480"/>
        <v>41.093476511730245</v>
      </c>
      <c r="FP309" s="673">
        <f t="shared" si="453"/>
        <v>31.576723317281619</v>
      </c>
      <c r="FQ309" s="775" t="b">
        <f t="shared" si="454"/>
        <v>1</v>
      </c>
      <c r="FR309" s="673"/>
      <c r="FS309" s="775">
        <f t="shared" si="455"/>
        <v>41.093476511730245</v>
      </c>
      <c r="FT309" s="775">
        <f t="shared" si="456"/>
        <v>7.1351143856872246E-2</v>
      </c>
      <c r="FU309" s="775">
        <f t="shared" si="457"/>
        <v>3.5043562343016299E-3</v>
      </c>
      <c r="FV309" s="775">
        <f t="shared" si="458"/>
        <v>9.0848351356084986</v>
      </c>
      <c r="FW309" s="775">
        <f t="shared" si="459"/>
        <v>4.5565044548610345</v>
      </c>
      <c r="FX309" s="775">
        <f t="shared" si="460"/>
        <v>61.096569636499417</v>
      </c>
      <c r="FY309" s="775">
        <f t="shared" si="461"/>
        <v>129.78216054340692</v>
      </c>
      <c r="FZ309" s="775">
        <f t="shared" si="462"/>
        <v>31.074041941365156</v>
      </c>
      <c r="GA309" s="775">
        <f t="shared" si="463"/>
        <v>48.149481390084951</v>
      </c>
      <c r="GB309" s="775">
        <f t="shared" si="464"/>
        <v>100.17700597504863</v>
      </c>
      <c r="GC309" s="775">
        <f t="shared" si="465"/>
        <v>14.473513525885911</v>
      </c>
      <c r="GD309" s="775">
        <f t="shared" si="466"/>
        <v>28.221246707095222</v>
      </c>
      <c r="GE309" s="775">
        <f t="shared" si="467"/>
        <v>12.82783941231601</v>
      </c>
      <c r="GF309" s="775">
        <f t="shared" si="468"/>
        <v>47.050007727112302</v>
      </c>
      <c r="GG309" s="775">
        <f t="shared" si="469"/>
        <v>41.093476511730245</v>
      </c>
    </row>
    <row r="310" spans="70:189">
      <c r="BR310" s="775"/>
      <c r="BS310" s="775"/>
      <c r="BT310" s="775"/>
      <c r="BU310" s="775"/>
      <c r="BV310" s="775"/>
      <c r="BW310" s="775"/>
      <c r="BX310" s="775"/>
      <c r="BY310" s="775" t="b">
        <f t="shared" si="470"/>
        <v>0</v>
      </c>
      <c r="BZ310" s="775">
        <f t="shared" si="397"/>
        <v>20.293276579694538</v>
      </c>
      <c r="CA310" s="775">
        <v>50</v>
      </c>
      <c r="CB310" s="775">
        <f t="shared" si="478"/>
        <v>25</v>
      </c>
      <c r="CC310" s="673">
        <f t="shared" si="398"/>
        <v>4.7067234203054626</v>
      </c>
      <c r="CD310" s="91">
        <f t="shared" si="396"/>
        <v>2</v>
      </c>
      <c r="CE310" s="775" t="b">
        <f t="shared" si="399"/>
        <v>0</v>
      </c>
      <c r="CF310" s="673"/>
      <c r="CG310" s="775">
        <f t="shared" si="400"/>
        <v>4.7067234203054626</v>
      </c>
      <c r="CH310" s="775">
        <f t="shared" si="401"/>
        <v>5.127977239369489E-2</v>
      </c>
      <c r="CI310" s="775">
        <f t="shared" si="402"/>
        <v>3.4297937749617723E-3</v>
      </c>
      <c r="CJ310" s="775">
        <f t="shared" si="403"/>
        <v>5.1308636318889365</v>
      </c>
      <c r="CK310" s="775">
        <f t="shared" si="404"/>
        <v>2.5710527864932269</v>
      </c>
      <c r="CL310" s="775">
        <f t="shared" si="405"/>
        <v>4.2028459660542232</v>
      </c>
      <c r="CM310" s="775">
        <f t="shared" si="406"/>
        <v>8.2644316782153524</v>
      </c>
      <c r="CN310" s="775">
        <f t="shared" si="407"/>
        <v>2.3694716598341961</v>
      </c>
      <c r="CO310" s="775">
        <f t="shared" si="408"/>
        <v>3.375312807230757</v>
      </c>
      <c r="CP310" s="775">
        <f t="shared" si="409"/>
        <v>64.099715492118619</v>
      </c>
      <c r="CQ310" s="775">
        <f t="shared" si="410"/>
        <v>10.390982259322888</v>
      </c>
      <c r="CR310" s="775">
        <f t="shared" si="471"/>
        <v>22.137383748208261</v>
      </c>
      <c r="CS310" s="775">
        <f t="shared" si="411"/>
        <v>10.062447158276482</v>
      </c>
      <c r="CT310" s="775">
        <f t="shared" si="412"/>
        <v>4.7067234203054626</v>
      </c>
      <c r="CU310" s="775">
        <f t="shared" si="413"/>
        <v>3.5852652066226365</v>
      </c>
      <c r="CV310" s="775"/>
      <c r="CW310" s="775"/>
      <c r="CX310" s="775"/>
      <c r="CY310" s="775"/>
      <c r="CZ310" s="775"/>
      <c r="DA310" s="775"/>
      <c r="DB310" s="775"/>
      <c r="DC310" s="775"/>
      <c r="DD310" s="775" t="b">
        <f t="shared" si="472"/>
        <v>0</v>
      </c>
      <c r="DE310" s="775">
        <f t="shared" si="414"/>
        <v>17.043662172608791</v>
      </c>
      <c r="DF310" s="775">
        <v>50</v>
      </c>
      <c r="DG310" s="775">
        <f t="shared" si="473"/>
        <v>25</v>
      </c>
      <c r="DH310" s="673">
        <f t="shared" si="415"/>
        <v>42.043662172608791</v>
      </c>
      <c r="DI310" s="673">
        <f t="shared" si="416"/>
        <v>26</v>
      </c>
      <c r="DJ310" s="775" t="b">
        <f t="shared" si="417"/>
        <v>1</v>
      </c>
      <c r="DK310" s="673"/>
      <c r="DL310" s="775">
        <f t="shared" si="418"/>
        <v>42.043662172608791</v>
      </c>
      <c r="DM310" s="775">
        <f t="shared" si="419"/>
        <v>7.2903659109163299E-2</v>
      </c>
      <c r="DN310" s="775">
        <f t="shared" si="420"/>
        <v>3.5806068199142173E-3</v>
      </c>
      <c r="DO310" s="775">
        <f t="shared" si="421"/>
        <v>9.0682515441980485</v>
      </c>
      <c r="DP310" s="775">
        <f t="shared" si="422"/>
        <v>4.552394191811258</v>
      </c>
      <c r="DQ310" s="775">
        <f t="shared" si="423"/>
        <v>50.036395465614454</v>
      </c>
      <c r="DR310" s="775">
        <f t="shared" si="424"/>
        <v>106.28798880145844</v>
      </c>
      <c r="DS310" s="775">
        <f t="shared" si="425"/>
        <v>30.972349209704859</v>
      </c>
      <c r="DT310" s="775">
        <f t="shared" si="426"/>
        <v>48.005093019215678</v>
      </c>
      <c r="DU310" s="775">
        <f t="shared" si="427"/>
        <v>102.35673738926528</v>
      </c>
      <c r="DV310" s="775">
        <f t="shared" si="428"/>
        <v>14.788439808613116</v>
      </c>
      <c r="DW310" s="775">
        <f t="shared" si="429"/>
        <v>15.571234885483493</v>
      </c>
      <c r="DX310" s="775">
        <f t="shared" si="430"/>
        <v>7.0778340388561327</v>
      </c>
      <c r="DY310" s="775">
        <f t="shared" si="431"/>
        <v>42.043662172608791</v>
      </c>
      <c r="DZ310" s="775">
        <f t="shared" si="432"/>
        <v>41.019482562464745</v>
      </c>
      <c r="EA310" s="775"/>
      <c r="EB310" s="775"/>
      <c r="EC310" s="775"/>
      <c r="ED310" s="775"/>
      <c r="EE310" s="775"/>
      <c r="EF310" s="775" t="b">
        <f t="shared" si="474"/>
        <v>0</v>
      </c>
      <c r="EG310" s="775">
        <f t="shared" si="433"/>
        <v>20.293276579694538</v>
      </c>
      <c r="EH310" s="775">
        <v>50</v>
      </c>
      <c r="EI310" s="775">
        <f t="shared" si="479"/>
        <v>25</v>
      </c>
      <c r="EJ310" s="673">
        <f t="shared" si="434"/>
        <v>4.7067234203054626</v>
      </c>
      <c r="EK310" s="673">
        <f t="shared" si="435"/>
        <v>2.2510196371999172</v>
      </c>
      <c r="EL310" s="775" t="b">
        <f t="shared" si="436"/>
        <v>0</v>
      </c>
      <c r="EM310" s="673"/>
      <c r="EN310" s="775">
        <f t="shared" si="437"/>
        <v>4.7067234203054626</v>
      </c>
      <c r="EO310" s="775">
        <f t="shared" si="438"/>
        <v>5.127977239369489E-2</v>
      </c>
      <c r="EP310" s="775">
        <f t="shared" si="439"/>
        <v>3.4297937749617723E-3</v>
      </c>
      <c r="EQ310" s="775">
        <f t="shared" si="440"/>
        <v>5.1308636318889365</v>
      </c>
      <c r="ER310" s="775">
        <f t="shared" si="441"/>
        <v>2.5710527864932269</v>
      </c>
      <c r="ES310" s="775">
        <f t="shared" si="442"/>
        <v>4.2028459660542232</v>
      </c>
      <c r="ET310" s="775">
        <f t="shared" si="443"/>
        <v>8.2644316782153524</v>
      </c>
      <c r="EU310" s="775">
        <f t="shared" si="444"/>
        <v>2.3694716598341961</v>
      </c>
      <c r="EV310" s="775">
        <f t="shared" si="445"/>
        <v>3.375312807230757</v>
      </c>
      <c r="EW310" s="775">
        <f t="shared" si="446"/>
        <v>64.099715492118619</v>
      </c>
      <c r="EX310" s="775">
        <f t="shared" si="447"/>
        <v>10.390982259322888</v>
      </c>
      <c r="EY310" s="775">
        <f t="shared" si="475"/>
        <v>22.137383748208261</v>
      </c>
      <c r="EZ310" s="775">
        <f t="shared" si="448"/>
        <v>10.062447158276482</v>
      </c>
      <c r="FA310" s="775">
        <f t="shared" si="449"/>
        <v>4.7067234203054626</v>
      </c>
      <c r="FB310" s="775">
        <f t="shared" si="450"/>
        <v>3.5852652066226365</v>
      </c>
      <c r="FC310" s="775"/>
      <c r="FD310" s="775"/>
      <c r="FE310" s="775"/>
      <c r="FF310" s="775"/>
      <c r="FG310" s="775"/>
      <c r="FH310" s="775"/>
      <c r="FI310" s="775"/>
      <c r="FJ310" s="775"/>
      <c r="FK310" s="775" t="b">
        <f t="shared" si="476"/>
        <v>0</v>
      </c>
      <c r="FL310" s="775">
        <f t="shared" si="451"/>
        <v>16.019482562464745</v>
      </c>
      <c r="FM310" s="775">
        <v>50</v>
      </c>
      <c r="FN310" s="775">
        <f t="shared" si="477"/>
        <v>25</v>
      </c>
      <c r="FO310" s="673">
        <f t="shared" si="480"/>
        <v>41.019482562464745</v>
      </c>
      <c r="FP310" s="673">
        <f t="shared" si="453"/>
        <v>31.576723317281619</v>
      </c>
      <c r="FQ310" s="775" t="b">
        <f t="shared" si="454"/>
        <v>1</v>
      </c>
      <c r="FR310" s="673"/>
      <c r="FS310" s="775">
        <f t="shared" si="455"/>
        <v>41.019482562464745</v>
      </c>
      <c r="FT310" s="775">
        <f t="shared" si="456"/>
        <v>7.2903659109163299E-2</v>
      </c>
      <c r="FU310" s="775">
        <f t="shared" si="457"/>
        <v>3.5806068199142173E-3</v>
      </c>
      <c r="FV310" s="775">
        <f t="shared" si="458"/>
        <v>9.0682515441980485</v>
      </c>
      <c r="FW310" s="775">
        <f t="shared" si="459"/>
        <v>4.552394191811258</v>
      </c>
      <c r="FX310" s="775">
        <f t="shared" si="460"/>
        <v>60.768669823530466</v>
      </c>
      <c r="FY310" s="775">
        <f t="shared" si="461"/>
        <v>129.08563132053769</v>
      </c>
      <c r="FZ310" s="775">
        <f t="shared" si="462"/>
        <v>30.972349209704859</v>
      </c>
      <c r="GA310" s="775">
        <f t="shared" si="463"/>
        <v>48.005093019215678</v>
      </c>
      <c r="GB310" s="775">
        <f t="shared" si="464"/>
        <v>102.35673738926528</v>
      </c>
      <c r="GC310" s="775">
        <f t="shared" si="465"/>
        <v>14.788439808613116</v>
      </c>
      <c r="GD310" s="775">
        <f t="shared" si="466"/>
        <v>27.620262936365297</v>
      </c>
      <c r="GE310" s="775">
        <f t="shared" si="467"/>
        <v>12.554664971075134</v>
      </c>
      <c r="GF310" s="775">
        <f t="shared" si="468"/>
        <v>46.91405791263066</v>
      </c>
      <c r="GG310" s="775">
        <f t="shared" si="469"/>
        <v>41.019482562464745</v>
      </c>
    </row>
    <row r="311" spans="70:189">
      <c r="BR311" s="775"/>
      <c r="BS311" s="775"/>
      <c r="BT311" s="775"/>
      <c r="BU311" s="775"/>
      <c r="BV311" s="775"/>
      <c r="BW311" s="775"/>
      <c r="BX311" s="775"/>
      <c r="BY311" s="775" t="b">
        <f t="shared" si="470"/>
        <v>0</v>
      </c>
      <c r="BZ311" s="775">
        <f t="shared" si="397"/>
        <v>20.765906371393072</v>
      </c>
      <c r="CA311" s="775">
        <v>51</v>
      </c>
      <c r="CB311" s="775">
        <f t="shared" si="478"/>
        <v>25.5</v>
      </c>
      <c r="CC311" s="673">
        <f t="shared" si="398"/>
        <v>4.734093628606928</v>
      </c>
      <c r="CD311" s="91">
        <f t="shared" si="396"/>
        <v>2</v>
      </c>
      <c r="CE311" s="775" t="b">
        <f t="shared" si="399"/>
        <v>0</v>
      </c>
      <c r="CF311" s="673"/>
      <c r="CG311" s="775">
        <f t="shared" si="400"/>
        <v>4.734093628606928</v>
      </c>
      <c r="CH311" s="775">
        <f t="shared" si="401"/>
        <v>5.0294201863184618E-2</v>
      </c>
      <c r="CI311" s="775">
        <f t="shared" si="402"/>
        <v>3.3638749240671546E-3</v>
      </c>
      <c r="CJ311" s="775">
        <f t="shared" si="403"/>
        <v>5.1390199071307983</v>
      </c>
      <c r="CK311" s="775">
        <f t="shared" si="404"/>
        <v>2.5730664229912681</v>
      </c>
      <c r="CL311" s="775">
        <f t="shared" si="405"/>
        <v>4.2232862214790297</v>
      </c>
      <c r="CM311" s="775">
        <f t="shared" si="406"/>
        <v>8.3046251794304791</v>
      </c>
      <c r="CN311" s="775">
        <f t="shared" si="407"/>
        <v>2.3755886635838492</v>
      </c>
      <c r="CO311" s="775">
        <f t="shared" si="408"/>
        <v>3.3837813252722624</v>
      </c>
      <c r="CP311" s="775">
        <f t="shared" si="409"/>
        <v>62.867752328980771</v>
      </c>
      <c r="CQ311" s="775">
        <f t="shared" si="410"/>
        <v>10.191272989569908</v>
      </c>
      <c r="CR311" s="775">
        <f t="shared" si="471"/>
        <v>22.571190275334043</v>
      </c>
      <c r="CS311" s="775">
        <f t="shared" si="411"/>
        <v>10.259631943333655</v>
      </c>
      <c r="CT311" s="775">
        <f t="shared" si="412"/>
        <v>4.734093628606928</v>
      </c>
      <c r="CU311" s="775">
        <f t="shared" si="413"/>
        <v>3.5968752531305928</v>
      </c>
      <c r="CV311" s="775"/>
      <c r="CW311" s="775"/>
      <c r="CX311" s="775"/>
      <c r="CY311" s="775"/>
      <c r="CZ311" s="775"/>
      <c r="DA311" s="775"/>
      <c r="DB311" s="775"/>
      <c r="DC311" s="775"/>
      <c r="DD311" s="775" t="b">
        <f t="shared" si="472"/>
        <v>0</v>
      </c>
      <c r="DE311" s="775">
        <f t="shared" si="414"/>
        <v>17.407616202072873</v>
      </c>
      <c r="DF311" s="775">
        <v>51</v>
      </c>
      <c r="DG311" s="775">
        <f t="shared" si="473"/>
        <v>24.5</v>
      </c>
      <c r="DH311" s="673">
        <f t="shared" si="415"/>
        <v>41.907616202072873</v>
      </c>
      <c r="DI311" s="673">
        <f t="shared" si="416"/>
        <v>26</v>
      </c>
      <c r="DJ311" s="775" t="b">
        <f t="shared" si="417"/>
        <v>1</v>
      </c>
      <c r="DK311" s="673"/>
      <c r="DL311" s="775">
        <f t="shared" si="418"/>
        <v>41.907616202072873</v>
      </c>
      <c r="DM311" s="775">
        <f t="shared" si="419"/>
        <v>7.4522356986912203E-2</v>
      </c>
      <c r="DN311" s="775">
        <f t="shared" si="420"/>
        <v>3.6601079139782318E-3</v>
      </c>
      <c r="DO311" s="775">
        <f t="shared" si="421"/>
        <v>9.051044564282499</v>
      </c>
      <c r="DP311" s="775">
        <f t="shared" si="422"/>
        <v>4.5481205336132922</v>
      </c>
      <c r="DQ311" s="775">
        <f t="shared" si="423"/>
        <v>49.762444062153058</v>
      </c>
      <c r="DR311" s="775">
        <f t="shared" si="424"/>
        <v>105.70605752059191</v>
      </c>
      <c r="DS311" s="775">
        <f t="shared" si="425"/>
        <v>30.868866174754352</v>
      </c>
      <c r="DT311" s="775">
        <f t="shared" si="426"/>
        <v>47.858160227088653</v>
      </c>
      <c r="DU311" s="775">
        <f t="shared" si="427"/>
        <v>104.62938920962473</v>
      </c>
      <c r="DV311" s="775">
        <f t="shared" si="428"/>
        <v>15.116791175690254</v>
      </c>
      <c r="DW311" s="775">
        <f t="shared" si="429"/>
        <v>15.23301256023567</v>
      </c>
      <c r="DX311" s="775">
        <f t="shared" si="430"/>
        <v>6.9240966182889405</v>
      </c>
      <c r="DY311" s="775">
        <f t="shared" si="431"/>
        <v>41.907616202072873</v>
      </c>
      <c r="DZ311" s="775">
        <f t="shared" si="432"/>
        <v>40.943993608942137</v>
      </c>
      <c r="EA311" s="775"/>
      <c r="EB311" s="775"/>
      <c r="EC311" s="775"/>
      <c r="ED311" s="775"/>
      <c r="EE311" s="775"/>
      <c r="EF311" s="775" t="b">
        <f t="shared" si="474"/>
        <v>0</v>
      </c>
      <c r="EG311" s="775">
        <f t="shared" si="433"/>
        <v>20.765906371393072</v>
      </c>
      <c r="EH311" s="775">
        <v>51</v>
      </c>
      <c r="EI311" s="775">
        <f t="shared" si="479"/>
        <v>25.5</v>
      </c>
      <c r="EJ311" s="673">
        <f t="shared" si="434"/>
        <v>4.734093628606928</v>
      </c>
      <c r="EK311" s="673">
        <f t="shared" si="435"/>
        <v>2.2510196371999172</v>
      </c>
      <c r="EL311" s="775" t="b">
        <f t="shared" si="436"/>
        <v>0</v>
      </c>
      <c r="EM311" s="673"/>
      <c r="EN311" s="775">
        <f t="shared" si="437"/>
        <v>4.734093628606928</v>
      </c>
      <c r="EO311" s="775">
        <f t="shared" si="438"/>
        <v>5.0294201863184618E-2</v>
      </c>
      <c r="EP311" s="775">
        <f t="shared" si="439"/>
        <v>3.3638749240671546E-3</v>
      </c>
      <c r="EQ311" s="775">
        <f t="shared" si="440"/>
        <v>5.1390199071307983</v>
      </c>
      <c r="ER311" s="775">
        <f t="shared" si="441"/>
        <v>2.5730664229912681</v>
      </c>
      <c r="ES311" s="775">
        <f t="shared" si="442"/>
        <v>4.2232862214790297</v>
      </c>
      <c r="ET311" s="775">
        <f t="shared" si="443"/>
        <v>8.3046251794304791</v>
      </c>
      <c r="EU311" s="775">
        <f t="shared" si="444"/>
        <v>2.3755886635838492</v>
      </c>
      <c r="EV311" s="775">
        <f t="shared" si="445"/>
        <v>3.3837813252722624</v>
      </c>
      <c r="EW311" s="775">
        <f t="shared" si="446"/>
        <v>62.867752328980771</v>
      </c>
      <c r="EX311" s="775">
        <f t="shared" si="447"/>
        <v>10.191272989569908</v>
      </c>
      <c r="EY311" s="775">
        <f t="shared" si="475"/>
        <v>22.571190275334043</v>
      </c>
      <c r="EZ311" s="775">
        <f t="shared" si="448"/>
        <v>10.259631943333655</v>
      </c>
      <c r="FA311" s="775">
        <f t="shared" si="449"/>
        <v>4.734093628606928</v>
      </c>
      <c r="FB311" s="775">
        <f t="shared" si="450"/>
        <v>3.5968752531305928</v>
      </c>
      <c r="FC311" s="775"/>
      <c r="FD311" s="775"/>
      <c r="FE311" s="775"/>
      <c r="FF311" s="775"/>
      <c r="FG311" s="775"/>
      <c r="FH311" s="775"/>
      <c r="FI311" s="775"/>
      <c r="FJ311" s="775"/>
      <c r="FK311" s="775" t="b">
        <f t="shared" si="476"/>
        <v>0</v>
      </c>
      <c r="FL311" s="775">
        <f t="shared" si="451"/>
        <v>16.443993608942137</v>
      </c>
      <c r="FM311" s="775">
        <v>51</v>
      </c>
      <c r="FN311" s="775">
        <f t="shared" si="477"/>
        <v>24.5</v>
      </c>
      <c r="FO311" s="673">
        <f t="shared" si="480"/>
        <v>40.943993608942137</v>
      </c>
      <c r="FP311" s="673">
        <f t="shared" si="453"/>
        <v>31.576723317281619</v>
      </c>
      <c r="FQ311" s="775" t="b">
        <f t="shared" si="454"/>
        <v>1</v>
      </c>
      <c r="FR311" s="673"/>
      <c r="FS311" s="775">
        <f t="shared" si="455"/>
        <v>40.943993608942137</v>
      </c>
      <c r="FT311" s="775">
        <f t="shared" si="456"/>
        <v>7.4522356986912203E-2</v>
      </c>
      <c r="FU311" s="775">
        <f t="shared" si="457"/>
        <v>3.6601079139782318E-3</v>
      </c>
      <c r="FV311" s="775">
        <f t="shared" si="458"/>
        <v>9.051044564282499</v>
      </c>
      <c r="FW311" s="775">
        <f t="shared" si="459"/>
        <v>4.5481205336132922</v>
      </c>
      <c r="FX311" s="775">
        <f t="shared" si="460"/>
        <v>60.435958759319639</v>
      </c>
      <c r="FY311" s="775">
        <f t="shared" si="461"/>
        <v>128.37888197263024</v>
      </c>
      <c r="FZ311" s="775">
        <f t="shared" si="462"/>
        <v>30.868866174754352</v>
      </c>
      <c r="GA311" s="775">
        <f t="shared" si="463"/>
        <v>47.858160227088653</v>
      </c>
      <c r="GB311" s="775">
        <f t="shared" si="464"/>
        <v>104.62938920962473</v>
      </c>
      <c r="GC311" s="775">
        <f t="shared" si="465"/>
        <v>15.116791175690254</v>
      </c>
      <c r="GD311" s="775">
        <f t="shared" si="466"/>
        <v>27.020324034730542</v>
      </c>
      <c r="GE311" s="775">
        <f t="shared" si="467"/>
        <v>12.281965470332064</v>
      </c>
      <c r="GF311" s="775">
        <f t="shared" si="468"/>
        <v>46.775397906183507</v>
      </c>
      <c r="GG311" s="775">
        <f t="shared" si="469"/>
        <v>40.943993608942137</v>
      </c>
    </row>
    <row r="312" spans="70:189">
      <c r="BR312" s="775"/>
      <c r="BS312" s="775"/>
      <c r="BT312" s="775"/>
      <c r="BU312" s="775"/>
      <c r="BV312" s="775"/>
      <c r="BW312" s="775"/>
      <c r="BX312" s="775"/>
      <c r="BY312" s="775" t="b">
        <f t="shared" si="470"/>
        <v>0</v>
      </c>
      <c r="BZ312" s="775">
        <f t="shared" si="397"/>
        <v>21.238953773665003</v>
      </c>
      <c r="CA312" s="775">
        <v>52</v>
      </c>
      <c r="CB312" s="775">
        <f t="shared" si="478"/>
        <v>26</v>
      </c>
      <c r="CC312" s="673">
        <f t="shared" si="398"/>
        <v>4.7610462263349982</v>
      </c>
      <c r="CD312" s="91">
        <f t="shared" si="396"/>
        <v>2</v>
      </c>
      <c r="CE312" s="775" t="b">
        <f t="shared" si="399"/>
        <v>0</v>
      </c>
      <c r="CF312" s="673"/>
      <c r="CG312" s="775">
        <f t="shared" si="400"/>
        <v>4.7610462263349982</v>
      </c>
      <c r="CH312" s="775">
        <f t="shared" si="401"/>
        <v>4.9346166114482885E-2</v>
      </c>
      <c r="CI312" s="775">
        <f t="shared" si="402"/>
        <v>3.3004665476731474E-3</v>
      </c>
      <c r="CJ312" s="775">
        <f t="shared" si="403"/>
        <v>5.1468974438871813</v>
      </c>
      <c r="CK312" s="775">
        <f t="shared" si="404"/>
        <v>2.5750078426632985</v>
      </c>
      <c r="CL312" s="775">
        <f t="shared" si="405"/>
        <v>4.2434260834351996</v>
      </c>
      <c r="CM312" s="775">
        <f t="shared" si="406"/>
        <v>8.3442279901187124</v>
      </c>
      <c r="CN312" s="775">
        <f t="shared" si="407"/>
        <v>2.38160061776132</v>
      </c>
      <c r="CO312" s="775">
        <f t="shared" si="408"/>
        <v>3.39210479410447</v>
      </c>
      <c r="CP312" s="775">
        <f t="shared" si="409"/>
        <v>61.682707643103605</v>
      </c>
      <c r="CQ312" s="775">
        <f t="shared" si="410"/>
        <v>9.9991695112172074</v>
      </c>
      <c r="CR312" s="775">
        <f t="shared" si="471"/>
        <v>23.004826704598308</v>
      </c>
      <c r="CS312" s="775">
        <f t="shared" si="411"/>
        <v>10.456739411181049</v>
      </c>
      <c r="CT312" s="775">
        <f t="shared" si="412"/>
        <v>4.7610462263349982</v>
      </c>
      <c r="CU312" s="775">
        <f t="shared" si="413"/>
        <v>3.6082837178079088</v>
      </c>
      <c r="CV312" s="775"/>
      <c r="CW312" s="775"/>
      <c r="CX312" s="775"/>
      <c r="CY312" s="775"/>
      <c r="CZ312" s="775"/>
      <c r="DA312" s="775"/>
      <c r="DB312" s="775"/>
      <c r="DC312" s="775"/>
      <c r="DD312" s="775" t="b">
        <f t="shared" si="472"/>
        <v>0</v>
      </c>
      <c r="DE312" s="775">
        <f t="shared" si="414"/>
        <v>17.768878305398104</v>
      </c>
      <c r="DF312" s="775">
        <v>52</v>
      </c>
      <c r="DG312" s="775">
        <f t="shared" si="473"/>
        <v>24</v>
      </c>
      <c r="DH312" s="673">
        <f t="shared" si="415"/>
        <v>41.768878305398104</v>
      </c>
      <c r="DI312" s="673">
        <f t="shared" si="416"/>
        <v>26</v>
      </c>
      <c r="DJ312" s="775" t="b">
        <f t="shared" si="417"/>
        <v>1</v>
      </c>
      <c r="DK312" s="673"/>
      <c r="DL312" s="775">
        <f t="shared" si="418"/>
        <v>41.768878305398104</v>
      </c>
      <c r="DM312" s="775">
        <f t="shared" si="419"/>
        <v>7.6211497667860409E-2</v>
      </c>
      <c r="DN312" s="775">
        <f t="shared" si="420"/>
        <v>3.7430687518278296E-3</v>
      </c>
      <c r="DO312" s="775">
        <f t="shared" si="421"/>
        <v>9.0331789957030786</v>
      </c>
      <c r="DP312" s="775">
        <f t="shared" si="422"/>
        <v>4.5436737016629527</v>
      </c>
      <c r="DQ312" s="775">
        <f t="shared" si="423"/>
        <v>49.484390327940716</v>
      </c>
      <c r="DR312" s="775">
        <f t="shared" si="424"/>
        <v>105.11541201319372</v>
      </c>
      <c r="DS312" s="775">
        <f t="shared" si="425"/>
        <v>30.763523883537136</v>
      </c>
      <c r="DT312" s="775">
        <f t="shared" si="426"/>
        <v>47.708584802079855</v>
      </c>
      <c r="DU312" s="775">
        <f t="shared" si="427"/>
        <v>107.00094272567601</v>
      </c>
      <c r="DV312" s="775">
        <f t="shared" si="428"/>
        <v>15.459431800231178</v>
      </c>
      <c r="DW312" s="775">
        <f t="shared" si="429"/>
        <v>14.895390259188304</v>
      </c>
      <c r="DX312" s="775">
        <f t="shared" si="430"/>
        <v>6.7706319359946825</v>
      </c>
      <c r="DY312" s="775">
        <f t="shared" si="431"/>
        <v>41.768878305398104</v>
      </c>
      <c r="DZ312" s="775">
        <f t="shared" si="432"/>
        <v>40.866948223245025</v>
      </c>
      <c r="EA312" s="775"/>
      <c r="EB312" s="775"/>
      <c r="EC312" s="775"/>
      <c r="ED312" s="775"/>
      <c r="EE312" s="775"/>
      <c r="EF312" s="775" t="b">
        <f t="shared" si="474"/>
        <v>0</v>
      </c>
      <c r="EG312" s="775">
        <f t="shared" si="433"/>
        <v>21.238953773665003</v>
      </c>
      <c r="EH312" s="775">
        <v>52</v>
      </c>
      <c r="EI312" s="775">
        <f t="shared" si="479"/>
        <v>26</v>
      </c>
      <c r="EJ312" s="673">
        <f t="shared" si="434"/>
        <v>4.7610462263349982</v>
      </c>
      <c r="EK312" s="673">
        <f t="shared" si="435"/>
        <v>2.2510196371999172</v>
      </c>
      <c r="EL312" s="775" t="b">
        <f t="shared" si="436"/>
        <v>0</v>
      </c>
      <c r="EM312" s="673"/>
      <c r="EN312" s="775">
        <f t="shared" si="437"/>
        <v>4.7610462263349982</v>
      </c>
      <c r="EO312" s="775">
        <f t="shared" si="438"/>
        <v>4.9346166114482885E-2</v>
      </c>
      <c r="EP312" s="775">
        <f t="shared" si="439"/>
        <v>3.3004665476731474E-3</v>
      </c>
      <c r="EQ312" s="775">
        <f t="shared" si="440"/>
        <v>5.1468974438871813</v>
      </c>
      <c r="ER312" s="775">
        <f t="shared" si="441"/>
        <v>2.5750078426632985</v>
      </c>
      <c r="ES312" s="775">
        <f t="shared" si="442"/>
        <v>4.2434260834351996</v>
      </c>
      <c r="ET312" s="775">
        <f t="shared" si="443"/>
        <v>8.3442279901187124</v>
      </c>
      <c r="EU312" s="775">
        <f t="shared" si="444"/>
        <v>2.38160061776132</v>
      </c>
      <c r="EV312" s="775">
        <f t="shared" si="445"/>
        <v>3.39210479410447</v>
      </c>
      <c r="EW312" s="775">
        <f t="shared" si="446"/>
        <v>61.682707643103605</v>
      </c>
      <c r="EX312" s="775">
        <f t="shared" si="447"/>
        <v>9.9991695112172074</v>
      </c>
      <c r="EY312" s="775">
        <f t="shared" si="475"/>
        <v>23.004826704598308</v>
      </c>
      <c r="EZ312" s="775">
        <f t="shared" si="448"/>
        <v>10.456739411181049</v>
      </c>
      <c r="FA312" s="775">
        <f t="shared" si="449"/>
        <v>4.7610462263349982</v>
      </c>
      <c r="FB312" s="775">
        <f t="shared" si="450"/>
        <v>3.6082837178079088</v>
      </c>
      <c r="FC312" s="775"/>
      <c r="FD312" s="775"/>
      <c r="FE312" s="775"/>
      <c r="FF312" s="775"/>
      <c r="FG312" s="775"/>
      <c r="FH312" s="775"/>
      <c r="FI312" s="775"/>
      <c r="FJ312" s="775"/>
      <c r="FK312" s="775" t="b">
        <f t="shared" si="476"/>
        <v>0</v>
      </c>
      <c r="FL312" s="775">
        <f t="shared" si="451"/>
        <v>16.866948223245025</v>
      </c>
      <c r="FM312" s="775">
        <v>52</v>
      </c>
      <c r="FN312" s="775">
        <f t="shared" si="477"/>
        <v>24</v>
      </c>
      <c r="FO312" s="673">
        <f t="shared" si="480"/>
        <v>40.866948223245025</v>
      </c>
      <c r="FP312" s="673">
        <f t="shared" si="453"/>
        <v>31.576723317281619</v>
      </c>
      <c r="FQ312" s="775" t="b">
        <f t="shared" si="454"/>
        <v>1</v>
      </c>
      <c r="FR312" s="673"/>
      <c r="FS312" s="775">
        <f t="shared" si="455"/>
        <v>40.866948223245025</v>
      </c>
      <c r="FT312" s="775">
        <f t="shared" si="456"/>
        <v>7.6211497667860409E-2</v>
      </c>
      <c r="FU312" s="775">
        <f t="shared" si="457"/>
        <v>3.7430687518278296E-3</v>
      </c>
      <c r="FV312" s="775">
        <f t="shared" si="458"/>
        <v>9.0331789957030786</v>
      </c>
      <c r="FW312" s="775">
        <f t="shared" si="459"/>
        <v>4.5436737016629527</v>
      </c>
      <c r="FX312" s="775">
        <f t="shared" si="460"/>
        <v>60.098265458067331</v>
      </c>
      <c r="FY312" s="775">
        <f t="shared" si="461"/>
        <v>127.66154928933379</v>
      </c>
      <c r="FZ312" s="775">
        <f t="shared" si="462"/>
        <v>30.763523883537136</v>
      </c>
      <c r="GA312" s="775">
        <f t="shared" si="463"/>
        <v>47.708584802079855</v>
      </c>
      <c r="GB312" s="775">
        <f t="shared" si="464"/>
        <v>107.00094272567601</v>
      </c>
      <c r="GC312" s="775">
        <f t="shared" si="465"/>
        <v>15.459431800231178</v>
      </c>
      <c r="GD312" s="775">
        <f t="shared" si="466"/>
        <v>26.421449456272892</v>
      </c>
      <c r="GE312" s="775">
        <f t="shared" si="467"/>
        <v>12.009749752851313</v>
      </c>
      <c r="GF312" s="775">
        <f t="shared" si="468"/>
        <v>46.633918834416875</v>
      </c>
      <c r="GG312" s="775">
        <f t="shared" si="469"/>
        <v>40.866948223245025</v>
      </c>
    </row>
    <row r="313" spans="70:189">
      <c r="BR313" s="775"/>
      <c r="BS313" s="775"/>
      <c r="BT313" s="775"/>
      <c r="BU313" s="775"/>
      <c r="BV313" s="775"/>
      <c r="BW313" s="775"/>
      <c r="BX313" s="775"/>
      <c r="BY313" s="775" t="b">
        <f t="shared" si="470"/>
        <v>0</v>
      </c>
      <c r="BZ313" s="775">
        <f t="shared" si="397"/>
        <v>21.712404630953756</v>
      </c>
      <c r="CA313" s="775">
        <v>53</v>
      </c>
      <c r="CB313" s="775">
        <f t="shared" si="478"/>
        <v>26.5</v>
      </c>
      <c r="CC313" s="673">
        <f t="shared" si="398"/>
        <v>4.7875953690462456</v>
      </c>
      <c r="CD313" s="91">
        <f t="shared" si="396"/>
        <v>2</v>
      </c>
      <c r="CE313" s="775" t="b">
        <f t="shared" si="399"/>
        <v>0</v>
      </c>
      <c r="CF313" s="673"/>
      <c r="CG313" s="775">
        <f t="shared" si="400"/>
        <v>4.7875953690462456</v>
      </c>
      <c r="CH313" s="775">
        <f t="shared" si="401"/>
        <v>4.8433554297962408E-2</v>
      </c>
      <c r="CI313" s="775">
        <f t="shared" si="402"/>
        <v>3.2394274638170863E-3</v>
      </c>
      <c r="CJ313" s="775">
        <f t="shared" si="403"/>
        <v>5.1545103604217113</v>
      </c>
      <c r="CK313" s="775">
        <f t="shared" si="404"/>
        <v>2.5768808773470075</v>
      </c>
      <c r="CL313" s="775">
        <f t="shared" si="405"/>
        <v>4.2632756181996641</v>
      </c>
      <c r="CM313" s="775">
        <f t="shared" si="406"/>
        <v>8.3832599045001217</v>
      </c>
      <c r="CN313" s="775">
        <f t="shared" si="407"/>
        <v>2.3875112975563879</v>
      </c>
      <c r="CO313" s="775">
        <f t="shared" si="408"/>
        <v>3.4002884192770364</v>
      </c>
      <c r="CP313" s="775">
        <f t="shared" si="409"/>
        <v>60.541942872453014</v>
      </c>
      <c r="CQ313" s="775">
        <f t="shared" si="410"/>
        <v>9.8142440961371928</v>
      </c>
      <c r="CR313" s="775">
        <f t="shared" si="471"/>
        <v>23.438296372309757</v>
      </c>
      <c r="CS313" s="775">
        <f t="shared" si="411"/>
        <v>10.653771078322617</v>
      </c>
      <c r="CT313" s="775">
        <f t="shared" si="412"/>
        <v>4.7875953690462456</v>
      </c>
      <c r="CU313" s="775">
        <f t="shared" si="413"/>
        <v>3.6194978752083875</v>
      </c>
      <c r="CV313" s="775"/>
      <c r="CW313" s="775"/>
      <c r="CX313" s="775"/>
      <c r="CY313" s="775"/>
      <c r="CZ313" s="775"/>
      <c r="DA313" s="775"/>
      <c r="DB313" s="775"/>
      <c r="DC313" s="775"/>
      <c r="DD313" s="775" t="b">
        <f t="shared" si="472"/>
        <v>0</v>
      </c>
      <c r="DE313" s="775">
        <f t="shared" si="414"/>
        <v>18.127339636466949</v>
      </c>
      <c r="DF313" s="775">
        <v>53</v>
      </c>
      <c r="DG313" s="775">
        <f t="shared" si="473"/>
        <v>23.5</v>
      </c>
      <c r="DH313" s="673">
        <f t="shared" si="415"/>
        <v>41.627339636466949</v>
      </c>
      <c r="DI313" s="673">
        <f t="shared" si="416"/>
        <v>26</v>
      </c>
      <c r="DJ313" s="775" t="b">
        <f t="shared" si="417"/>
        <v>1</v>
      </c>
      <c r="DK313" s="673"/>
      <c r="DL313" s="775">
        <f t="shared" si="418"/>
        <v>41.627339636466949</v>
      </c>
      <c r="DM313" s="775">
        <f t="shared" si="419"/>
        <v>7.7975712121166704E-2</v>
      </c>
      <c r="DN313" s="775">
        <f t="shared" si="420"/>
        <v>3.8297167799307948E-3</v>
      </c>
      <c r="DO313" s="775">
        <f t="shared" si="421"/>
        <v>9.0146169629557846</v>
      </c>
      <c r="DP313" s="775">
        <f t="shared" si="422"/>
        <v>4.5390431281601753</v>
      </c>
      <c r="DQ313" s="775">
        <f t="shared" si="423"/>
        <v>49.20208541002232</v>
      </c>
      <c r="DR313" s="775">
        <f t="shared" si="424"/>
        <v>104.51573608380092</v>
      </c>
      <c r="DS313" s="775">
        <f t="shared" si="425"/>
        <v>30.656249224633083</v>
      </c>
      <c r="DT313" s="775">
        <f t="shared" si="426"/>
        <v>47.556262596330676</v>
      </c>
      <c r="DU313" s="775">
        <f t="shared" si="427"/>
        <v>109.47789981811805</v>
      </c>
      <c r="DV313" s="775">
        <f t="shared" si="428"/>
        <v>15.817301070045731</v>
      </c>
      <c r="DW313" s="775">
        <f t="shared" si="429"/>
        <v>14.558379386596805</v>
      </c>
      <c r="DX313" s="775">
        <f t="shared" si="430"/>
        <v>6.6174451757258197</v>
      </c>
      <c r="DY313" s="775">
        <f t="shared" si="431"/>
        <v>41.627339636466949</v>
      </c>
      <c r="DZ313" s="775">
        <f t="shared" si="432"/>
        <v>40.788281112132843</v>
      </c>
      <c r="EA313" s="775"/>
      <c r="EB313" s="775"/>
      <c r="EC313" s="775"/>
      <c r="ED313" s="775"/>
      <c r="EE313" s="775"/>
      <c r="EF313" s="775" t="b">
        <f t="shared" si="474"/>
        <v>0</v>
      </c>
      <c r="EG313" s="775">
        <f t="shared" si="433"/>
        <v>21.712404630953756</v>
      </c>
      <c r="EH313" s="775">
        <v>53</v>
      </c>
      <c r="EI313" s="775">
        <f t="shared" si="479"/>
        <v>26.5</v>
      </c>
      <c r="EJ313" s="673">
        <f t="shared" si="434"/>
        <v>4.7875953690462456</v>
      </c>
      <c r="EK313" s="673">
        <f t="shared" si="435"/>
        <v>2.2510196371999172</v>
      </c>
      <c r="EL313" s="775" t="b">
        <f t="shared" si="436"/>
        <v>0</v>
      </c>
      <c r="EM313" s="673"/>
      <c r="EN313" s="775">
        <f t="shared" si="437"/>
        <v>4.7875953690462456</v>
      </c>
      <c r="EO313" s="775">
        <f t="shared" si="438"/>
        <v>4.8433554297962408E-2</v>
      </c>
      <c r="EP313" s="775">
        <f t="shared" si="439"/>
        <v>3.2394274638170863E-3</v>
      </c>
      <c r="EQ313" s="775">
        <f t="shared" si="440"/>
        <v>5.1545103604217113</v>
      </c>
      <c r="ER313" s="775">
        <f t="shared" si="441"/>
        <v>2.5768808773470075</v>
      </c>
      <c r="ES313" s="775">
        <f t="shared" si="442"/>
        <v>4.2632756181996641</v>
      </c>
      <c r="ET313" s="775">
        <f t="shared" si="443"/>
        <v>8.3832599045001217</v>
      </c>
      <c r="EU313" s="775">
        <f t="shared" si="444"/>
        <v>2.3875112975563879</v>
      </c>
      <c r="EV313" s="775">
        <f t="shared" si="445"/>
        <v>3.4002884192770364</v>
      </c>
      <c r="EW313" s="775">
        <f t="shared" si="446"/>
        <v>60.541942872453014</v>
      </c>
      <c r="EX313" s="775">
        <f t="shared" si="447"/>
        <v>9.8142440961371928</v>
      </c>
      <c r="EY313" s="775">
        <f t="shared" si="475"/>
        <v>23.438296372309757</v>
      </c>
      <c r="EZ313" s="775">
        <f t="shared" si="448"/>
        <v>10.653771078322617</v>
      </c>
      <c r="FA313" s="775">
        <f t="shared" si="449"/>
        <v>4.7875953690462456</v>
      </c>
      <c r="FB313" s="775">
        <f t="shared" si="450"/>
        <v>3.6194978752083875</v>
      </c>
      <c r="FC313" s="775"/>
      <c r="FD313" s="775"/>
      <c r="FE313" s="775"/>
      <c r="FF313" s="775"/>
      <c r="FG313" s="775"/>
      <c r="FH313" s="775"/>
      <c r="FI313" s="775"/>
      <c r="FJ313" s="775"/>
      <c r="FK313" s="775" t="b">
        <f t="shared" si="476"/>
        <v>0</v>
      </c>
      <c r="FL313" s="775">
        <f t="shared" si="451"/>
        <v>17.288281112132843</v>
      </c>
      <c r="FM313" s="775">
        <v>53</v>
      </c>
      <c r="FN313" s="775">
        <f t="shared" si="477"/>
        <v>23.5</v>
      </c>
      <c r="FO313" s="673">
        <f t="shared" si="480"/>
        <v>40.788281112132843</v>
      </c>
      <c r="FP313" s="673">
        <f t="shared" si="453"/>
        <v>31.576723317281619</v>
      </c>
      <c r="FQ313" s="775" t="b">
        <f t="shared" si="454"/>
        <v>1</v>
      </c>
      <c r="FR313" s="673"/>
      <c r="FS313" s="775">
        <f t="shared" si="455"/>
        <v>40.788281112132843</v>
      </c>
      <c r="FT313" s="775">
        <f t="shared" si="456"/>
        <v>7.7975712121166704E-2</v>
      </c>
      <c r="FU313" s="775">
        <f t="shared" si="457"/>
        <v>3.8297167799307948E-3</v>
      </c>
      <c r="FV313" s="775">
        <f t="shared" si="458"/>
        <v>9.0146169629557846</v>
      </c>
      <c r="FW313" s="775">
        <f t="shared" si="459"/>
        <v>4.5390431281601753</v>
      </c>
      <c r="FX313" s="775">
        <f t="shared" si="460"/>
        <v>59.7554091394436</v>
      </c>
      <c r="FY313" s="775">
        <f t="shared" si="461"/>
        <v>126.93324925462339</v>
      </c>
      <c r="FZ313" s="775">
        <f t="shared" si="462"/>
        <v>30.656249224633083</v>
      </c>
      <c r="GA313" s="775">
        <f t="shared" si="463"/>
        <v>47.556262596330676</v>
      </c>
      <c r="GB313" s="775">
        <f t="shared" si="464"/>
        <v>109.47789981811805</v>
      </c>
      <c r="GC313" s="775">
        <f t="shared" si="465"/>
        <v>15.817301070045731</v>
      </c>
      <c r="GD313" s="775">
        <f t="shared" si="466"/>
        <v>25.823659429865362</v>
      </c>
      <c r="GE313" s="775">
        <f t="shared" si="467"/>
        <v>11.738027013575163</v>
      </c>
      <c r="GF313" s="775">
        <f t="shared" si="468"/>
        <v>46.489505113545242</v>
      </c>
      <c r="GG313" s="775">
        <f t="shared" si="469"/>
        <v>40.788281112132843</v>
      </c>
    </row>
    <row r="314" spans="70:189">
      <c r="BR314" s="775"/>
      <c r="BS314" s="775"/>
      <c r="BT314" s="775"/>
      <c r="BU314" s="775"/>
      <c r="BV314" s="775"/>
      <c r="BW314" s="775"/>
      <c r="BX314" s="775"/>
      <c r="BY314" s="775" t="b">
        <f t="shared" si="470"/>
        <v>0</v>
      </c>
      <c r="BZ314" s="775">
        <f t="shared" si="397"/>
        <v>22.186245523030472</v>
      </c>
      <c r="CA314" s="775">
        <v>54</v>
      </c>
      <c r="CB314" s="775">
        <f t="shared" si="478"/>
        <v>27</v>
      </c>
      <c r="CC314" s="673">
        <f t="shared" si="398"/>
        <v>4.8137544769695273</v>
      </c>
      <c r="CD314" s="91">
        <f t="shared" si="396"/>
        <v>2</v>
      </c>
      <c r="CE314" s="775" t="b">
        <f t="shared" si="399"/>
        <v>0</v>
      </c>
      <c r="CF314" s="673"/>
      <c r="CG314" s="775">
        <f t="shared" si="400"/>
        <v>4.8137544769695273</v>
      </c>
      <c r="CH314" s="775">
        <f t="shared" si="401"/>
        <v>4.7554411170707703E-2</v>
      </c>
      <c r="CI314" s="775">
        <f t="shared" si="402"/>
        <v>3.1806268981279654E-3</v>
      </c>
      <c r="CJ314" s="775">
        <f t="shared" si="403"/>
        <v>5.1618718344350896</v>
      </c>
      <c r="CK314" s="775">
        <f t="shared" si="404"/>
        <v>2.5786890918974303</v>
      </c>
      <c r="CL314" s="775">
        <f t="shared" si="405"/>
        <v>4.2828443724205298</v>
      </c>
      <c r="CM314" s="775">
        <f t="shared" si="406"/>
        <v>8.4217396950021683</v>
      </c>
      <c r="CN314" s="775">
        <f t="shared" si="407"/>
        <v>2.3933242743381085</v>
      </c>
      <c r="CO314" s="775">
        <f t="shared" si="408"/>
        <v>3.4083371255504669</v>
      </c>
      <c r="CP314" s="775">
        <f t="shared" si="409"/>
        <v>59.44301396338463</v>
      </c>
      <c r="CQ314" s="775">
        <f t="shared" si="410"/>
        <v>9.6361005472818064</v>
      </c>
      <c r="CR314" s="775">
        <f t="shared" si="471"/>
        <v>23.871602487620624</v>
      </c>
      <c r="CS314" s="775">
        <f t="shared" si="411"/>
        <v>10.850728403463918</v>
      </c>
      <c r="CT314" s="775">
        <f t="shared" si="412"/>
        <v>4.8137544769695273</v>
      </c>
      <c r="CU314" s="775">
        <f t="shared" si="413"/>
        <v>3.630524606168346</v>
      </c>
      <c r="CV314" s="775"/>
      <c r="CW314" s="775"/>
      <c r="CX314" s="775"/>
      <c r="CY314" s="775"/>
      <c r="CZ314" s="775"/>
      <c r="DA314" s="775"/>
      <c r="DB314" s="775"/>
      <c r="DC314" s="775"/>
      <c r="DD314" s="775" t="b">
        <f t="shared" si="472"/>
        <v>0</v>
      </c>
      <c r="DE314" s="775">
        <f t="shared" si="414"/>
        <v>18.48288456016131</v>
      </c>
      <c r="DF314" s="775">
        <v>54</v>
      </c>
      <c r="DG314" s="775">
        <f t="shared" si="473"/>
        <v>23</v>
      </c>
      <c r="DH314" s="673">
        <f t="shared" si="415"/>
        <v>41.48288456016131</v>
      </c>
      <c r="DI314" s="673">
        <f t="shared" si="416"/>
        <v>26</v>
      </c>
      <c r="DJ314" s="775" t="b">
        <f t="shared" si="417"/>
        <v>1</v>
      </c>
      <c r="DK314" s="673"/>
      <c r="DL314" s="775">
        <f t="shared" si="418"/>
        <v>41.48288456016131</v>
      </c>
      <c r="DM314" s="775">
        <f t="shared" si="419"/>
        <v>7.9820043150101355E-2</v>
      </c>
      <c r="DN314" s="775">
        <f t="shared" si="420"/>
        <v>3.9202996716687045E-3</v>
      </c>
      <c r="DO314" s="775">
        <f t="shared" si="421"/>
        <v>8.9953176576519507</v>
      </c>
      <c r="DP314" s="775">
        <f t="shared" si="422"/>
        <v>4.534217375302922</v>
      </c>
      <c r="DQ314" s="775">
        <f t="shared" si="423"/>
        <v>48.915371745843039</v>
      </c>
      <c r="DR314" s="775">
        <f t="shared" si="424"/>
        <v>103.90669503590101</v>
      </c>
      <c r="DS314" s="775">
        <f t="shared" si="425"/>
        <v>30.54696458283718</v>
      </c>
      <c r="DT314" s="775">
        <f t="shared" si="426"/>
        <v>47.401083031713128</v>
      </c>
      <c r="DU314" s="775">
        <f t="shared" si="427"/>
        <v>112.0673405827423</v>
      </c>
      <c r="DV314" s="775">
        <f t="shared" si="428"/>
        <v>16.191421913112297</v>
      </c>
      <c r="DW314" s="775">
        <f t="shared" si="429"/>
        <v>14.221991810568928</v>
      </c>
      <c r="DX314" s="775">
        <f t="shared" si="430"/>
        <v>6.4645417320767855</v>
      </c>
      <c r="DY314" s="775">
        <f t="shared" si="431"/>
        <v>41.48288456016131</v>
      </c>
      <c r="DZ314" s="775">
        <f t="shared" si="432"/>
        <v>40.707922785686414</v>
      </c>
      <c r="EA314" s="775"/>
      <c r="EB314" s="775"/>
      <c r="EC314" s="775"/>
      <c r="ED314" s="775"/>
      <c r="EE314" s="775"/>
      <c r="EF314" s="775" t="b">
        <f t="shared" si="474"/>
        <v>0</v>
      </c>
      <c r="EG314" s="775">
        <f t="shared" si="433"/>
        <v>22.186245523030472</v>
      </c>
      <c r="EH314" s="775">
        <v>54</v>
      </c>
      <c r="EI314" s="775">
        <f t="shared" si="479"/>
        <v>27</v>
      </c>
      <c r="EJ314" s="673">
        <f t="shared" si="434"/>
        <v>4.8137544769695273</v>
      </c>
      <c r="EK314" s="673">
        <f t="shared" si="435"/>
        <v>2.2510196371999172</v>
      </c>
      <c r="EL314" s="775" t="b">
        <f t="shared" si="436"/>
        <v>0</v>
      </c>
      <c r="EM314" s="673"/>
      <c r="EN314" s="775">
        <f t="shared" si="437"/>
        <v>4.8137544769695273</v>
      </c>
      <c r="EO314" s="775">
        <f t="shared" si="438"/>
        <v>4.7554411170707703E-2</v>
      </c>
      <c r="EP314" s="775">
        <f t="shared" si="439"/>
        <v>3.1806268981279654E-3</v>
      </c>
      <c r="EQ314" s="775">
        <f t="shared" si="440"/>
        <v>5.1618718344350896</v>
      </c>
      <c r="ER314" s="775">
        <f t="shared" si="441"/>
        <v>2.5786890918974303</v>
      </c>
      <c r="ES314" s="775">
        <f t="shared" si="442"/>
        <v>4.2828443724205298</v>
      </c>
      <c r="ET314" s="775">
        <f t="shared" si="443"/>
        <v>8.4217396950021683</v>
      </c>
      <c r="EU314" s="775">
        <f t="shared" si="444"/>
        <v>2.3933242743381085</v>
      </c>
      <c r="EV314" s="775">
        <f t="shared" si="445"/>
        <v>3.4083371255504669</v>
      </c>
      <c r="EW314" s="775">
        <f t="shared" si="446"/>
        <v>59.44301396338463</v>
      </c>
      <c r="EX314" s="775">
        <f t="shared" si="447"/>
        <v>9.6361005472818064</v>
      </c>
      <c r="EY314" s="775">
        <f t="shared" si="475"/>
        <v>23.871602487620624</v>
      </c>
      <c r="EZ314" s="775">
        <f t="shared" si="448"/>
        <v>10.850728403463918</v>
      </c>
      <c r="FA314" s="775">
        <f t="shared" si="449"/>
        <v>4.8137544769695273</v>
      </c>
      <c r="FB314" s="775">
        <f t="shared" si="450"/>
        <v>3.630524606168346</v>
      </c>
      <c r="FC314" s="775"/>
      <c r="FD314" s="775"/>
      <c r="FE314" s="775"/>
      <c r="FF314" s="775"/>
      <c r="FG314" s="775"/>
      <c r="FH314" s="775"/>
      <c r="FI314" s="775"/>
      <c r="FJ314" s="775"/>
      <c r="FK314" s="775" t="b">
        <f t="shared" si="476"/>
        <v>0</v>
      </c>
      <c r="FL314" s="775">
        <f t="shared" si="451"/>
        <v>17.707922785686414</v>
      </c>
      <c r="FM314" s="775">
        <v>54</v>
      </c>
      <c r="FN314" s="775">
        <f t="shared" si="477"/>
        <v>23</v>
      </c>
      <c r="FO314" s="673">
        <f t="shared" si="480"/>
        <v>40.707922785686414</v>
      </c>
      <c r="FP314" s="673">
        <f t="shared" si="453"/>
        <v>31.576723317281619</v>
      </c>
      <c r="FQ314" s="775" t="b">
        <f t="shared" si="454"/>
        <v>1</v>
      </c>
      <c r="FR314" s="673"/>
      <c r="FS314" s="775">
        <f t="shared" si="455"/>
        <v>40.707922785686414</v>
      </c>
      <c r="FT314" s="775">
        <f t="shared" si="456"/>
        <v>7.9820043150101355E-2</v>
      </c>
      <c r="FU314" s="775">
        <f t="shared" si="457"/>
        <v>3.9202996716687045E-3</v>
      </c>
      <c r="FV314" s="775">
        <f t="shared" si="458"/>
        <v>8.9953176576519507</v>
      </c>
      <c r="FW314" s="775">
        <f t="shared" si="459"/>
        <v>4.534217375302922</v>
      </c>
      <c r="FX314" s="775">
        <f t="shared" si="460"/>
        <v>59.407198445402322</v>
      </c>
      <c r="FY314" s="775">
        <f t="shared" si="461"/>
        <v>126.19357538314637</v>
      </c>
      <c r="FZ314" s="775">
        <f t="shared" si="462"/>
        <v>30.54696458283718</v>
      </c>
      <c r="GA314" s="775">
        <f t="shared" si="463"/>
        <v>47.401083031713128</v>
      </c>
      <c r="GB314" s="775">
        <f t="shared" si="464"/>
        <v>112.0673405827423</v>
      </c>
      <c r="GC314" s="775">
        <f t="shared" si="465"/>
        <v>16.191421913112297</v>
      </c>
      <c r="GD314" s="775">
        <f t="shared" si="466"/>
        <v>25.226975007162427</v>
      </c>
      <c r="GE314" s="775">
        <f t="shared" si="467"/>
        <v>11.466806821437466</v>
      </c>
      <c r="GF314" s="775">
        <f t="shared" si="468"/>
        <v>46.342033884579081</v>
      </c>
      <c r="GG314" s="775">
        <f t="shared" si="469"/>
        <v>40.707922785686414</v>
      </c>
    </row>
    <row r="315" spans="70:189">
      <c r="BR315" s="775"/>
      <c r="BS315" s="775"/>
      <c r="BT315" s="775"/>
      <c r="BU315" s="775"/>
      <c r="BV315" s="775"/>
      <c r="BW315" s="775"/>
      <c r="BX315" s="775"/>
      <c r="BY315" s="775" t="b">
        <f t="shared" si="470"/>
        <v>0</v>
      </c>
      <c r="BZ315" s="775">
        <f t="shared" si="397"/>
        <v>22.660463713994695</v>
      </c>
      <c r="CA315" s="775">
        <v>55</v>
      </c>
      <c r="CB315" s="775">
        <f t="shared" si="478"/>
        <v>27.5</v>
      </c>
      <c r="CC315" s="673">
        <f t="shared" si="398"/>
        <v>4.8395362860053055</v>
      </c>
      <c r="CD315" s="91">
        <f t="shared" si="396"/>
        <v>2</v>
      </c>
      <c r="CE315" s="775" t="b">
        <f t="shared" si="399"/>
        <v>0</v>
      </c>
      <c r="CF315" s="673"/>
      <c r="CG315" s="775">
        <f t="shared" si="400"/>
        <v>4.8395362860053055</v>
      </c>
      <c r="CH315" s="775">
        <f t="shared" si="401"/>
        <v>4.6706923004423528E-2</v>
      </c>
      <c r="CI315" s="775">
        <f t="shared" si="402"/>
        <v>3.1239435412916813E-3</v>
      </c>
      <c r="CJ315" s="775">
        <f t="shared" si="403"/>
        <v>5.1689941802894834</v>
      </c>
      <c r="CK315" s="775">
        <f t="shared" si="404"/>
        <v>2.5804358070767162</v>
      </c>
      <c r="CL315" s="775">
        <f t="shared" si="405"/>
        <v>4.3021414090058894</v>
      </c>
      <c r="CM315" s="775">
        <f t="shared" si="406"/>
        <v>8.4596851828310857</v>
      </c>
      <c r="CN315" s="775">
        <f t="shared" si="407"/>
        <v>2.3990429302027518</v>
      </c>
      <c r="CO315" s="775">
        <f t="shared" si="408"/>
        <v>3.416255576924188</v>
      </c>
      <c r="CP315" s="775">
        <f t="shared" si="409"/>
        <v>58.383653755529409</v>
      </c>
      <c r="CQ315" s="775">
        <f t="shared" si="410"/>
        <v>9.464371343157497</v>
      </c>
      <c r="CR315" s="775">
        <f t="shared" si="471"/>
        <v>24.30474813963847</v>
      </c>
      <c r="CS315" s="775">
        <f t="shared" si="411"/>
        <v>11.047612790744758</v>
      </c>
      <c r="CT315" s="775">
        <f t="shared" si="412"/>
        <v>4.8395362860053055</v>
      </c>
      <c r="CU315" s="775">
        <f t="shared" si="413"/>
        <v>3.6413704259567394</v>
      </c>
      <c r="CV315" s="775"/>
      <c r="CW315" s="775"/>
      <c r="CX315" s="775"/>
      <c r="CY315" s="775"/>
      <c r="CZ315" s="775"/>
      <c r="DA315" s="775"/>
      <c r="DB315" s="775"/>
      <c r="DC315" s="775"/>
      <c r="DD315" s="775" t="b">
        <f t="shared" si="472"/>
        <v>0</v>
      </c>
      <c r="DE315" s="775">
        <f t="shared" si="414"/>
        <v>18.835390072439708</v>
      </c>
      <c r="DF315" s="775">
        <v>55</v>
      </c>
      <c r="DG315" s="775">
        <f t="shared" si="473"/>
        <v>22.5</v>
      </c>
      <c r="DH315" s="673">
        <f t="shared" si="415"/>
        <v>41.335390072439708</v>
      </c>
      <c r="DI315" s="673">
        <f t="shared" si="416"/>
        <v>26</v>
      </c>
      <c r="DJ315" s="775" t="b">
        <f t="shared" si="417"/>
        <v>1</v>
      </c>
      <c r="DK315" s="673"/>
      <c r="DL315" s="775">
        <f t="shared" si="418"/>
        <v>41.335390072439708</v>
      </c>
      <c r="DM315" s="775">
        <f t="shared" si="419"/>
        <v>8.1749991991687629E-2</v>
      </c>
      <c r="DN315" s="775">
        <f t="shared" si="420"/>
        <v>4.0150876160422785E-3</v>
      </c>
      <c r="DO315" s="775">
        <f t="shared" si="421"/>
        <v>8.9752370507675927</v>
      </c>
      <c r="DP315" s="775">
        <f t="shared" si="422"/>
        <v>4.5291840443837676</v>
      </c>
      <c r="DQ315" s="775">
        <f t="shared" si="423"/>
        <v>48.624082351547749</v>
      </c>
      <c r="DR315" s="775">
        <f t="shared" si="424"/>
        <v>103.28793416012772</v>
      </c>
      <c r="DS315" s="775">
        <f t="shared" si="425"/>
        <v>30.435587456940123</v>
      </c>
      <c r="DT315" s="775">
        <f t="shared" si="426"/>
        <v>47.242928552931346</v>
      </c>
      <c r="DU315" s="775">
        <f t="shared" si="427"/>
        <v>114.77698875632943</v>
      </c>
      <c r="DV315" s="775">
        <f t="shared" si="428"/>
        <v>16.582910250271958</v>
      </c>
      <c r="DW315" s="775">
        <f t="shared" si="429"/>
        <v>13.886239892420143</v>
      </c>
      <c r="DX315" s="775">
        <f t="shared" si="430"/>
        <v>6.311927223827337</v>
      </c>
      <c r="DY315" s="775">
        <f t="shared" si="431"/>
        <v>41.335390072439708</v>
      </c>
      <c r="DZ315" s="775">
        <f t="shared" si="432"/>
        <v>40.625799189654956</v>
      </c>
      <c r="EA315" s="775"/>
      <c r="EB315" s="775"/>
      <c r="EC315" s="775"/>
      <c r="ED315" s="775"/>
      <c r="EE315" s="775"/>
      <c r="EF315" s="775" t="b">
        <f t="shared" si="474"/>
        <v>0</v>
      </c>
      <c r="EG315" s="775">
        <f t="shared" si="433"/>
        <v>22.660463713994695</v>
      </c>
      <c r="EH315" s="775">
        <v>55</v>
      </c>
      <c r="EI315" s="775">
        <f t="shared" si="479"/>
        <v>27.5</v>
      </c>
      <c r="EJ315" s="673">
        <f t="shared" si="434"/>
        <v>4.8395362860053055</v>
      </c>
      <c r="EK315" s="673">
        <f t="shared" si="435"/>
        <v>2.2510196371999172</v>
      </c>
      <c r="EL315" s="775" t="b">
        <f t="shared" si="436"/>
        <v>0</v>
      </c>
      <c r="EM315" s="673"/>
      <c r="EN315" s="775">
        <f t="shared" si="437"/>
        <v>4.8395362860053055</v>
      </c>
      <c r="EO315" s="775">
        <f t="shared" si="438"/>
        <v>4.6706923004423528E-2</v>
      </c>
      <c r="EP315" s="775">
        <f t="shared" si="439"/>
        <v>3.1239435412916813E-3</v>
      </c>
      <c r="EQ315" s="775">
        <f t="shared" si="440"/>
        <v>5.1689941802894834</v>
      </c>
      <c r="ER315" s="775">
        <f t="shared" si="441"/>
        <v>2.5804358070767162</v>
      </c>
      <c r="ES315" s="775">
        <f t="shared" si="442"/>
        <v>4.3021414090058894</v>
      </c>
      <c r="ET315" s="775">
        <f t="shared" si="443"/>
        <v>8.4596851828310857</v>
      </c>
      <c r="EU315" s="775">
        <f t="shared" si="444"/>
        <v>2.3990429302027518</v>
      </c>
      <c r="EV315" s="775">
        <f t="shared" si="445"/>
        <v>3.416255576924188</v>
      </c>
      <c r="EW315" s="775">
        <f t="shared" si="446"/>
        <v>58.383653755529409</v>
      </c>
      <c r="EX315" s="775">
        <f t="shared" si="447"/>
        <v>9.464371343157497</v>
      </c>
      <c r="EY315" s="775">
        <f t="shared" si="475"/>
        <v>24.30474813963847</v>
      </c>
      <c r="EZ315" s="775">
        <f t="shared" si="448"/>
        <v>11.047612790744758</v>
      </c>
      <c r="FA315" s="775">
        <f t="shared" si="449"/>
        <v>4.8395362860053055</v>
      </c>
      <c r="FB315" s="775">
        <f t="shared" si="450"/>
        <v>3.6413704259567394</v>
      </c>
      <c r="FC315" s="775"/>
      <c r="FD315" s="775"/>
      <c r="FE315" s="775"/>
      <c r="FF315" s="775"/>
      <c r="FG315" s="775"/>
      <c r="FH315" s="775"/>
      <c r="FI315" s="775"/>
      <c r="FJ315" s="775"/>
      <c r="FK315" s="775" t="b">
        <f t="shared" si="476"/>
        <v>0</v>
      </c>
      <c r="FL315" s="775">
        <f t="shared" si="451"/>
        <v>18.125799189654956</v>
      </c>
      <c r="FM315" s="775">
        <v>55</v>
      </c>
      <c r="FN315" s="775">
        <f t="shared" si="477"/>
        <v>22.5</v>
      </c>
      <c r="FO315" s="673">
        <f t="shared" si="480"/>
        <v>40.625799189654956</v>
      </c>
      <c r="FP315" s="673">
        <f t="shared" si="453"/>
        <v>31.576723317281619</v>
      </c>
      <c r="FQ315" s="775" t="b">
        <f t="shared" si="454"/>
        <v>1</v>
      </c>
      <c r="FR315" s="673"/>
      <c r="FS315" s="775">
        <f t="shared" si="455"/>
        <v>40.625799189654956</v>
      </c>
      <c r="FT315" s="775">
        <f t="shared" si="456"/>
        <v>8.1749991991687629E-2</v>
      </c>
      <c r="FU315" s="775">
        <f t="shared" si="457"/>
        <v>4.0150876160422785E-3</v>
      </c>
      <c r="FV315" s="775">
        <f t="shared" si="458"/>
        <v>8.9752370507675927</v>
      </c>
      <c r="FW315" s="775">
        <f t="shared" si="459"/>
        <v>4.5291840443837676</v>
      </c>
      <c r="FX315" s="775">
        <f t="shared" si="460"/>
        <v>59.053430575828436</v>
      </c>
      <c r="FY315" s="775">
        <f t="shared" si="461"/>
        <v>125.44209688415206</v>
      </c>
      <c r="FZ315" s="775">
        <f t="shared" si="462"/>
        <v>30.435587456940123</v>
      </c>
      <c r="GA315" s="775">
        <f t="shared" si="463"/>
        <v>47.242928552931346</v>
      </c>
      <c r="GB315" s="775">
        <f t="shared" si="464"/>
        <v>114.77698875632943</v>
      </c>
      <c r="GC315" s="775">
        <f t="shared" si="465"/>
        <v>16.582910250271958</v>
      </c>
      <c r="GD315" s="775">
        <f t="shared" si="466"/>
        <v>24.631418114670627</v>
      </c>
      <c r="GE315" s="775">
        <f t="shared" si="467"/>
        <v>11.196099143032102</v>
      </c>
      <c r="GF315" s="775">
        <f t="shared" si="468"/>
        <v>46.191374387695355</v>
      </c>
      <c r="GG315" s="775">
        <f t="shared" si="469"/>
        <v>40.625799189654956</v>
      </c>
    </row>
    <row r="316" spans="70:189">
      <c r="BR316" s="775"/>
      <c r="BS316" s="775"/>
      <c r="BT316" s="775"/>
      <c r="BU316" s="775"/>
      <c r="BV316" s="775"/>
      <c r="BW316" s="775"/>
      <c r="BX316" s="775"/>
      <c r="BY316" s="775" t="b">
        <f t="shared" si="470"/>
        <v>0</v>
      </c>
      <c r="BZ316" s="775">
        <f t="shared" si="397"/>
        <v>23.135047105668484</v>
      </c>
      <c r="CA316" s="775">
        <v>56</v>
      </c>
      <c r="CB316" s="775">
        <f t="shared" si="478"/>
        <v>28</v>
      </c>
      <c r="CC316" s="673">
        <f t="shared" si="398"/>
        <v>4.8649528943315161</v>
      </c>
      <c r="CD316" s="91">
        <f t="shared" si="396"/>
        <v>2</v>
      </c>
      <c r="CE316" s="775" t="b">
        <f t="shared" si="399"/>
        <v>0</v>
      </c>
      <c r="CF316" s="673"/>
      <c r="CG316" s="775">
        <f t="shared" si="400"/>
        <v>4.8649528943315161</v>
      </c>
      <c r="CH316" s="775">
        <f t="shared" si="401"/>
        <v>4.5889404998452572E-2</v>
      </c>
      <c r="CI316" s="775">
        <f t="shared" si="402"/>
        <v>3.0692647071839251E-3</v>
      </c>
      <c r="CJ316" s="775">
        <f t="shared" si="403"/>
        <v>5.1758889187326043</v>
      </c>
      <c r="CK316" s="775">
        <f t="shared" si="404"/>
        <v>2.5821241201259157</v>
      </c>
      <c r="CL316" s="775">
        <f t="shared" si="405"/>
        <v>4.3211753399303987</v>
      </c>
      <c r="CM316" s="775">
        <f t="shared" si="406"/>
        <v>8.4971133024823899</v>
      </c>
      <c r="CN316" s="775">
        <f t="shared" si="407"/>
        <v>2.4046704712395615</v>
      </c>
      <c r="CO316" s="775">
        <f t="shared" si="408"/>
        <v>3.4240481949004011</v>
      </c>
      <c r="CP316" s="775">
        <f t="shared" si="409"/>
        <v>57.361756248065717</v>
      </c>
      <c r="CQ316" s="775">
        <f t="shared" si="410"/>
        <v>9.2987150872852364</v>
      </c>
      <c r="CR316" s="775">
        <f t="shared" si="471"/>
        <v>24.737736304017886</v>
      </c>
      <c r="CS316" s="775">
        <f t="shared" si="411"/>
        <v>11.244425592735402</v>
      </c>
      <c r="CT316" s="775">
        <f t="shared" si="412"/>
        <v>4.8649528943315161</v>
      </c>
      <c r="CU316" s="775">
        <f t="shared" si="413"/>
        <v>3.6520415099410766</v>
      </c>
      <c r="CV316" s="775"/>
      <c r="CW316" s="775"/>
      <c r="CX316" s="775"/>
      <c r="CY316" s="775"/>
      <c r="CZ316" s="775"/>
      <c r="DA316" s="775"/>
      <c r="DB316" s="775"/>
      <c r="DC316" s="775"/>
      <c r="DD316" s="775" t="b">
        <f t="shared" si="472"/>
        <v>0</v>
      </c>
      <c r="DE316" s="775">
        <f t="shared" si="414"/>
        <v>19.18472515686716</v>
      </c>
      <c r="DF316" s="775">
        <v>56</v>
      </c>
      <c r="DG316" s="775">
        <f t="shared" si="473"/>
        <v>22</v>
      </c>
      <c r="DH316" s="673">
        <f t="shared" si="415"/>
        <v>41.18472515686716</v>
      </c>
      <c r="DI316" s="673">
        <f t="shared" si="416"/>
        <v>26</v>
      </c>
      <c r="DJ316" s="775" t="b">
        <f t="shared" si="417"/>
        <v>1</v>
      </c>
      <c r="DK316" s="673"/>
      <c r="DL316" s="775">
        <f t="shared" si="418"/>
        <v>41.18472515686716</v>
      </c>
      <c r="DM316" s="775">
        <f t="shared" si="419"/>
        <v>8.3771571369199493E-2</v>
      </c>
      <c r="DN316" s="775">
        <f t="shared" si="420"/>
        <v>4.1143759233037598E-3</v>
      </c>
      <c r="DO316" s="775">
        <f t="shared" si="421"/>
        <v>8.9543275704761456</v>
      </c>
      <c r="DP316" s="775">
        <f t="shared" si="422"/>
        <v>4.5239296732899721</v>
      </c>
      <c r="DQ316" s="775">
        <f t="shared" si="423"/>
        <v>48.32804003486855</v>
      </c>
      <c r="DR316" s="775">
        <f t="shared" si="424"/>
        <v>102.65907706226622</v>
      </c>
      <c r="DS316" s="775">
        <f t="shared" si="425"/>
        <v>30.322030035777381</v>
      </c>
      <c r="DT316" s="775">
        <f t="shared" si="426"/>
        <v>47.081674020788903</v>
      </c>
      <c r="DU316" s="775">
        <f t="shared" si="427"/>
        <v>117.61528620235609</v>
      </c>
      <c r="DV316" s="775">
        <f t="shared" si="428"/>
        <v>16.992985756878596</v>
      </c>
      <c r="DW316" s="775">
        <f t="shared" si="429"/>
        <v>13.551136518580119</v>
      </c>
      <c r="DX316" s="775">
        <f t="shared" si="430"/>
        <v>6.1596075084455082</v>
      </c>
      <c r="DY316" s="775">
        <f t="shared" si="431"/>
        <v>41.18472515686716</v>
      </c>
      <c r="DZ316" s="775">
        <f t="shared" si="432"/>
        <v>40.541831296626036</v>
      </c>
      <c r="EA316" s="775"/>
      <c r="EB316" s="775"/>
      <c r="EC316" s="775"/>
      <c r="ED316" s="775"/>
      <c r="EE316" s="775"/>
      <c r="EF316" s="775" t="b">
        <f t="shared" si="474"/>
        <v>0</v>
      </c>
      <c r="EG316" s="775">
        <f t="shared" si="433"/>
        <v>23.135047105668484</v>
      </c>
      <c r="EH316" s="775">
        <v>56</v>
      </c>
      <c r="EI316" s="775">
        <f t="shared" si="479"/>
        <v>28</v>
      </c>
      <c r="EJ316" s="673">
        <f t="shared" si="434"/>
        <v>4.8649528943315161</v>
      </c>
      <c r="EK316" s="673">
        <f t="shared" si="435"/>
        <v>2.2510196371999172</v>
      </c>
      <c r="EL316" s="775" t="b">
        <f t="shared" si="436"/>
        <v>0</v>
      </c>
      <c r="EM316" s="673"/>
      <c r="EN316" s="775">
        <f t="shared" si="437"/>
        <v>4.8649528943315161</v>
      </c>
      <c r="EO316" s="775">
        <f t="shared" si="438"/>
        <v>4.5889404998452572E-2</v>
      </c>
      <c r="EP316" s="775">
        <f t="shared" si="439"/>
        <v>3.0692647071839251E-3</v>
      </c>
      <c r="EQ316" s="775">
        <f t="shared" si="440"/>
        <v>5.1758889187326043</v>
      </c>
      <c r="ER316" s="775">
        <f t="shared" si="441"/>
        <v>2.5821241201259157</v>
      </c>
      <c r="ES316" s="775">
        <f t="shared" si="442"/>
        <v>4.3211753399303987</v>
      </c>
      <c r="ET316" s="775">
        <f t="shared" si="443"/>
        <v>8.4971133024823899</v>
      </c>
      <c r="EU316" s="775">
        <f t="shared" si="444"/>
        <v>2.4046704712395615</v>
      </c>
      <c r="EV316" s="775">
        <f t="shared" si="445"/>
        <v>3.4240481949004011</v>
      </c>
      <c r="EW316" s="775">
        <f t="shared" si="446"/>
        <v>57.361756248065717</v>
      </c>
      <c r="EX316" s="775">
        <f t="shared" si="447"/>
        <v>9.2987150872852364</v>
      </c>
      <c r="EY316" s="775">
        <f t="shared" si="475"/>
        <v>24.737736304017886</v>
      </c>
      <c r="EZ316" s="775">
        <f t="shared" si="448"/>
        <v>11.244425592735402</v>
      </c>
      <c r="FA316" s="775">
        <f t="shared" si="449"/>
        <v>4.8649528943315161</v>
      </c>
      <c r="FB316" s="775">
        <f t="shared" si="450"/>
        <v>3.6520415099410766</v>
      </c>
      <c r="FC316" s="775"/>
      <c r="FD316" s="775"/>
      <c r="FE316" s="775"/>
      <c r="FF316" s="775"/>
      <c r="FG316" s="775"/>
      <c r="FH316" s="775"/>
      <c r="FI316" s="775"/>
      <c r="FJ316" s="775"/>
      <c r="FK316" s="775" t="b">
        <f t="shared" si="476"/>
        <v>0</v>
      </c>
      <c r="FL316" s="775">
        <f t="shared" si="451"/>
        <v>18.541831296626036</v>
      </c>
      <c r="FM316" s="775">
        <v>56</v>
      </c>
      <c r="FN316" s="775">
        <f t="shared" si="477"/>
        <v>22</v>
      </c>
      <c r="FO316" s="673">
        <f t="shared" si="480"/>
        <v>40.541831296626036</v>
      </c>
      <c r="FP316" s="673">
        <f t="shared" si="453"/>
        <v>31.576723317281619</v>
      </c>
      <c r="FQ316" s="775" t="b">
        <f t="shared" si="454"/>
        <v>1</v>
      </c>
      <c r="FR316" s="673"/>
      <c r="FS316" s="775">
        <f t="shared" si="455"/>
        <v>40.541831296626036</v>
      </c>
      <c r="FT316" s="775">
        <f t="shared" si="456"/>
        <v>8.3771571369199493E-2</v>
      </c>
      <c r="FU316" s="775">
        <f t="shared" si="457"/>
        <v>4.1143759233037598E-3</v>
      </c>
      <c r="FV316" s="775">
        <f t="shared" si="458"/>
        <v>8.9543275704761456</v>
      </c>
      <c r="FW316" s="775">
        <f t="shared" si="459"/>
        <v>4.5239296732899721</v>
      </c>
      <c r="FX316" s="775">
        <f t="shared" si="460"/>
        <v>58.693890332598201</v>
      </c>
      <c r="FY316" s="775">
        <f t="shared" si="461"/>
        <v>124.678356630872</v>
      </c>
      <c r="FZ316" s="775">
        <f t="shared" si="462"/>
        <v>30.322030035777381</v>
      </c>
      <c r="GA316" s="775">
        <f t="shared" si="463"/>
        <v>47.081674020788903</v>
      </c>
      <c r="GB316" s="775">
        <f t="shared" si="464"/>
        <v>117.61528620235609</v>
      </c>
      <c r="GC316" s="775">
        <f t="shared" si="465"/>
        <v>16.992985756878596</v>
      </c>
      <c r="GD316" s="775">
        <f t="shared" si="466"/>
        <v>24.037011610344287</v>
      </c>
      <c r="GE316" s="775">
        <f t="shared" si="467"/>
        <v>10.925914368338312</v>
      </c>
      <c r="GF316" s="775">
        <f t="shared" si="468"/>
        <v>46.03738726769015</v>
      </c>
      <c r="GG316" s="775">
        <f t="shared" si="469"/>
        <v>40.541831296626036</v>
      </c>
    </row>
    <row r="317" spans="70:189">
      <c r="BR317" s="775"/>
      <c r="BS317" s="775"/>
      <c r="BT317" s="775"/>
      <c r="BU317" s="775"/>
      <c r="BV317" s="775"/>
      <c r="BW317" s="775"/>
      <c r="BX317" s="775"/>
      <c r="BY317" s="775" t="b">
        <f t="shared" si="470"/>
        <v>0</v>
      </c>
      <c r="BZ317" s="775">
        <f t="shared" si="397"/>
        <v>23.609984194934338</v>
      </c>
      <c r="CA317" s="775">
        <v>57</v>
      </c>
      <c r="CB317" s="775">
        <f t="shared" si="478"/>
        <v>28.5</v>
      </c>
      <c r="CC317" s="673">
        <f t="shared" si="398"/>
        <v>4.8900158050656621</v>
      </c>
      <c r="CD317" s="91">
        <f t="shared" si="396"/>
        <v>2</v>
      </c>
      <c r="CE317" s="775" t="b">
        <f t="shared" si="399"/>
        <v>0</v>
      </c>
      <c r="CF317" s="673"/>
      <c r="CG317" s="775">
        <f t="shared" si="400"/>
        <v>4.8900158050656621</v>
      </c>
      <c r="CH317" s="775">
        <f t="shared" si="401"/>
        <v>4.5100290013558447E-2</v>
      </c>
      <c r="CI317" s="775">
        <f t="shared" si="402"/>
        <v>3.0164855793410779E-3</v>
      </c>
      <c r="CJ317" s="775">
        <f t="shared" si="403"/>
        <v>5.182566839959275</v>
      </c>
      <c r="CK317" s="775">
        <f t="shared" si="404"/>
        <v>2.5837569232883695</v>
      </c>
      <c r="CL317" s="775">
        <f t="shared" si="405"/>
        <v>4.3399543562743386</v>
      </c>
      <c r="CM317" s="775">
        <f t="shared" si="406"/>
        <v>8.5340401608093615</v>
      </c>
      <c r="CN317" s="775">
        <f t="shared" si="407"/>
        <v>2.4102099396480665</v>
      </c>
      <c r="CO317" s="775">
        <f t="shared" si="408"/>
        <v>3.4317191751676357</v>
      </c>
      <c r="CP317" s="775">
        <f t="shared" si="409"/>
        <v>56.375362516948059</v>
      </c>
      <c r="CQ317" s="775">
        <f t="shared" si="410"/>
        <v>9.1388142252913767</v>
      </c>
      <c r="CR317" s="775">
        <f t="shared" si="471"/>
        <v>25.170569849079154</v>
      </c>
      <c r="CS317" s="775">
        <f t="shared" si="411"/>
        <v>11.441168113217797</v>
      </c>
      <c r="CT317" s="775">
        <f t="shared" si="412"/>
        <v>4.8900158050656621</v>
      </c>
      <c r="CU317" s="775">
        <f t="shared" si="413"/>
        <v>3.6625437170284791</v>
      </c>
      <c r="CV317" s="775"/>
      <c r="CW317" s="775"/>
      <c r="CX317" s="775"/>
      <c r="CY317" s="775"/>
      <c r="CZ317" s="775"/>
      <c r="DA317" s="775"/>
      <c r="DB317" s="775"/>
      <c r="DC317" s="775"/>
      <c r="DD317" s="775" t="b">
        <f t="shared" si="472"/>
        <v>0</v>
      </c>
      <c r="DE317" s="775">
        <f t="shared" si="414"/>
        <v>19.53075006902553</v>
      </c>
      <c r="DF317" s="775">
        <v>57</v>
      </c>
      <c r="DG317" s="775">
        <f t="shared" si="473"/>
        <v>21.5</v>
      </c>
      <c r="DH317" s="673">
        <f t="shared" si="415"/>
        <v>41.03075006902553</v>
      </c>
      <c r="DI317" s="673">
        <f t="shared" si="416"/>
        <v>26</v>
      </c>
      <c r="DJ317" s="775" t="b">
        <f t="shared" si="417"/>
        <v>1</v>
      </c>
      <c r="DK317" s="673"/>
      <c r="DL317" s="775">
        <f t="shared" si="418"/>
        <v>41.03075006902553</v>
      </c>
      <c r="DM317" s="775">
        <f t="shared" si="419"/>
        <v>8.5891366062080934E-2</v>
      </c>
      <c r="DN317" s="775">
        <f t="shared" si="420"/>
        <v>4.2184879998016494E-3</v>
      </c>
      <c r="DO317" s="775">
        <f t="shared" si="421"/>
        <v>8.9325377406779491</v>
      </c>
      <c r="DP317" s="775">
        <f t="shared" si="422"/>
        <v>4.5184396206485342</v>
      </c>
      <c r="DQ317" s="775">
        <f t="shared" si="423"/>
        <v>48.027056522697507</v>
      </c>
      <c r="DR317" s="775">
        <f t="shared" si="424"/>
        <v>102.01972381003119</v>
      </c>
      <c r="DS317" s="775">
        <f t="shared" si="425"/>
        <v>30.206198726929141</v>
      </c>
      <c r="DT317" s="775">
        <f t="shared" si="426"/>
        <v>46.917186037551659</v>
      </c>
      <c r="DU317" s="775">
        <f t="shared" si="427"/>
        <v>120.59147795116164</v>
      </c>
      <c r="DV317" s="775">
        <f t="shared" si="428"/>
        <v>17.422984149350981</v>
      </c>
      <c r="DW317" s="775">
        <f t="shared" si="429"/>
        <v>13.2166951353352</v>
      </c>
      <c r="DX317" s="775">
        <f t="shared" si="430"/>
        <v>6.007588697879636</v>
      </c>
      <c r="DY317" s="775">
        <f t="shared" si="431"/>
        <v>41.03075006902553</v>
      </c>
      <c r="DZ317" s="775">
        <f t="shared" si="432"/>
        <v>40.455934650355317</v>
      </c>
      <c r="EA317" s="775"/>
      <c r="EB317" s="775"/>
      <c r="EC317" s="775"/>
      <c r="ED317" s="775"/>
      <c r="EE317" s="775"/>
      <c r="EF317" s="775" t="b">
        <f t="shared" si="474"/>
        <v>0</v>
      </c>
      <c r="EG317" s="775">
        <f t="shared" si="433"/>
        <v>23.609984194934338</v>
      </c>
      <c r="EH317" s="775">
        <v>57</v>
      </c>
      <c r="EI317" s="775">
        <f t="shared" si="479"/>
        <v>28.5</v>
      </c>
      <c r="EJ317" s="673">
        <f t="shared" si="434"/>
        <v>4.8900158050656621</v>
      </c>
      <c r="EK317" s="673">
        <f t="shared" si="435"/>
        <v>2.2510196371999172</v>
      </c>
      <c r="EL317" s="775" t="b">
        <f t="shared" si="436"/>
        <v>0</v>
      </c>
      <c r="EM317" s="673"/>
      <c r="EN317" s="775">
        <f t="shared" si="437"/>
        <v>4.8900158050656621</v>
      </c>
      <c r="EO317" s="775">
        <f t="shared" si="438"/>
        <v>4.5100290013558447E-2</v>
      </c>
      <c r="EP317" s="775">
        <f t="shared" si="439"/>
        <v>3.0164855793410779E-3</v>
      </c>
      <c r="EQ317" s="775">
        <f t="shared" si="440"/>
        <v>5.182566839959275</v>
      </c>
      <c r="ER317" s="775">
        <f t="shared" si="441"/>
        <v>2.5837569232883695</v>
      </c>
      <c r="ES317" s="775">
        <f t="shared" si="442"/>
        <v>4.3399543562743386</v>
      </c>
      <c r="ET317" s="775">
        <f t="shared" si="443"/>
        <v>8.5340401608093615</v>
      </c>
      <c r="EU317" s="775">
        <f t="shared" si="444"/>
        <v>2.4102099396480665</v>
      </c>
      <c r="EV317" s="775">
        <f t="shared" si="445"/>
        <v>3.4317191751676357</v>
      </c>
      <c r="EW317" s="775">
        <f t="shared" si="446"/>
        <v>56.375362516948059</v>
      </c>
      <c r="EX317" s="775">
        <f t="shared" si="447"/>
        <v>9.1388142252913767</v>
      </c>
      <c r="EY317" s="775">
        <f t="shared" si="475"/>
        <v>25.170569849079154</v>
      </c>
      <c r="EZ317" s="775">
        <f t="shared" si="448"/>
        <v>11.441168113217797</v>
      </c>
      <c r="FA317" s="775">
        <f t="shared" si="449"/>
        <v>4.8900158050656621</v>
      </c>
      <c r="FB317" s="775">
        <f t="shared" si="450"/>
        <v>3.6625437170284791</v>
      </c>
      <c r="FC317" s="775"/>
      <c r="FD317" s="775"/>
      <c r="FE317" s="775"/>
      <c r="FF317" s="775"/>
      <c r="FG317" s="775"/>
      <c r="FH317" s="775"/>
      <c r="FI317" s="775"/>
      <c r="FJ317" s="775"/>
      <c r="FK317" s="775" t="b">
        <f t="shared" si="476"/>
        <v>0</v>
      </c>
      <c r="FL317" s="775">
        <f t="shared" si="451"/>
        <v>18.955934650355317</v>
      </c>
      <c r="FM317" s="775">
        <v>57</v>
      </c>
      <c r="FN317" s="775">
        <f t="shared" si="477"/>
        <v>21.5</v>
      </c>
      <c r="FO317" s="673">
        <f t="shared" si="480"/>
        <v>40.455934650355317</v>
      </c>
      <c r="FP317" s="673">
        <f t="shared" si="453"/>
        <v>31.576723317281619</v>
      </c>
      <c r="FQ317" s="775" t="b">
        <f t="shared" si="454"/>
        <v>1</v>
      </c>
      <c r="FR317" s="673"/>
      <c r="FS317" s="775">
        <f t="shared" si="455"/>
        <v>40.455934650355317</v>
      </c>
      <c r="FT317" s="775">
        <f t="shared" si="456"/>
        <v>8.5891366062080934E-2</v>
      </c>
      <c r="FU317" s="775">
        <f t="shared" si="457"/>
        <v>4.2184879998016494E-3</v>
      </c>
      <c r="FV317" s="775">
        <f t="shared" si="458"/>
        <v>8.9325377406779491</v>
      </c>
      <c r="FW317" s="775">
        <f t="shared" si="459"/>
        <v>4.5184396206485342</v>
      </c>
      <c r="FX317" s="775">
        <f t="shared" si="460"/>
        <v>58.328349060025566</v>
      </c>
      <c r="FY317" s="775">
        <f t="shared" si="461"/>
        <v>123.90186890980164</v>
      </c>
      <c r="FZ317" s="775">
        <f t="shared" si="462"/>
        <v>30.206198726929141</v>
      </c>
      <c r="GA317" s="775">
        <f t="shared" si="463"/>
        <v>46.917186037551659</v>
      </c>
      <c r="GB317" s="775">
        <f t="shared" si="464"/>
        <v>120.59147795116164</v>
      </c>
      <c r="GC317" s="775">
        <f t="shared" si="465"/>
        <v>17.422984149350981</v>
      </c>
      <c r="GD317" s="775">
        <f t="shared" si="466"/>
        <v>23.443779345211738</v>
      </c>
      <c r="GE317" s="775">
        <f t="shared" si="467"/>
        <v>10.656263338732607</v>
      </c>
      <c r="GF317" s="775">
        <f t="shared" si="468"/>
        <v>45.879923801176858</v>
      </c>
      <c r="GG317" s="775">
        <f t="shared" si="469"/>
        <v>40.455934650355317</v>
      </c>
    </row>
    <row r="318" spans="70:189">
      <c r="BR318" s="775"/>
      <c r="BS318" s="775"/>
      <c r="BT318" s="775"/>
      <c r="BU318" s="775"/>
      <c r="BV318" s="775"/>
      <c r="BW318" s="775"/>
      <c r="BX318" s="775"/>
      <c r="BY318" s="775" t="b">
        <f t="shared" si="470"/>
        <v>0</v>
      </c>
      <c r="BZ318" s="775">
        <f t="shared" si="397"/>
        <v>24.085264034620266</v>
      </c>
      <c r="CA318" s="775">
        <v>58</v>
      </c>
      <c r="CB318" s="775">
        <f t="shared" si="478"/>
        <v>29</v>
      </c>
      <c r="CC318" s="673">
        <f t="shared" si="398"/>
        <v>4.914735965379732</v>
      </c>
      <c r="CD318" s="91">
        <f t="shared" si="396"/>
        <v>2</v>
      </c>
      <c r="CE318" s="775" t="b">
        <f t="shared" si="399"/>
        <v>0</v>
      </c>
      <c r="CF318" s="673"/>
      <c r="CG318" s="775">
        <f t="shared" si="400"/>
        <v>4.914735965379732</v>
      </c>
      <c r="CH318" s="775">
        <f t="shared" si="401"/>
        <v>4.4338118467499188E-2</v>
      </c>
      <c r="CI318" s="775">
        <f t="shared" si="402"/>
        <v>2.9655085351362473E-3</v>
      </c>
      <c r="CJ318" s="775">
        <f t="shared" si="403"/>
        <v>5.189038060742754</v>
      </c>
      <c r="CK318" s="775">
        <f t="shared" si="404"/>
        <v>2.5853369205189725</v>
      </c>
      <c r="CL318" s="775">
        <f t="shared" si="405"/>
        <v>4.3584862557728004</v>
      </c>
      <c r="CM318" s="775">
        <f t="shared" si="406"/>
        <v>8.5704810911954894</v>
      </c>
      <c r="CN318" s="775">
        <f t="shared" si="407"/>
        <v>2.4156642248246407</v>
      </c>
      <c r="CO318" s="775">
        <f t="shared" si="408"/>
        <v>3.4392725028658866</v>
      </c>
      <c r="CP318" s="775">
        <f t="shared" si="409"/>
        <v>55.422648084373982</v>
      </c>
      <c r="CQ318" s="775">
        <f t="shared" si="410"/>
        <v>8.9843729974157984</v>
      </c>
      <c r="CR318" s="775">
        <f t="shared" si="471"/>
        <v>25.603251541495304</v>
      </c>
      <c r="CS318" s="775">
        <f t="shared" si="411"/>
        <v>11.637841609770591</v>
      </c>
      <c r="CT318" s="775">
        <f t="shared" si="412"/>
        <v>4.914735965379732</v>
      </c>
      <c r="CU318" s="775">
        <f t="shared" si="413"/>
        <v>3.67288261111015</v>
      </c>
      <c r="CV318" s="775"/>
      <c r="CW318" s="775"/>
      <c r="CX318" s="775"/>
      <c r="CY318" s="775"/>
      <c r="CZ318" s="775"/>
      <c r="DA318" s="775"/>
      <c r="DB318" s="775"/>
      <c r="DC318" s="775"/>
      <c r="DD318" s="775" t="b">
        <f t="shared" si="472"/>
        <v>0</v>
      </c>
      <c r="DE318" s="775">
        <f t="shared" si="414"/>
        <v>19.873315538848594</v>
      </c>
      <c r="DF318" s="775">
        <v>58</v>
      </c>
      <c r="DG318" s="775">
        <f t="shared" si="473"/>
        <v>21</v>
      </c>
      <c r="DH318" s="673">
        <f t="shared" si="415"/>
        <v>40.873315538848594</v>
      </c>
      <c r="DI318" s="673">
        <f t="shared" si="416"/>
        <v>26</v>
      </c>
      <c r="DJ318" s="775" t="b">
        <f t="shared" si="417"/>
        <v>1</v>
      </c>
      <c r="DK318" s="673"/>
      <c r="DL318" s="775">
        <f t="shared" si="418"/>
        <v>40.873315538848594</v>
      </c>
      <c r="DM318" s="775">
        <f t="shared" si="419"/>
        <v>8.8116602263039565E-2</v>
      </c>
      <c r="DN318" s="775">
        <f t="shared" si="420"/>
        <v>4.3277787544007008E-3</v>
      </c>
      <c r="DO318" s="775">
        <f t="shared" si="421"/>
        <v>8.9098117745318195</v>
      </c>
      <c r="DP318" s="775">
        <f t="shared" si="422"/>
        <v>4.5126979345468348</v>
      </c>
      <c r="DQ318" s="775">
        <f t="shared" si="423"/>
        <v>47.720931491877799</v>
      </c>
      <c r="DR318" s="775">
        <f t="shared" si="424"/>
        <v>101.36944887426026</v>
      </c>
      <c r="DS318" s="775">
        <f t="shared" si="425"/>
        <v>30.087993631547079</v>
      </c>
      <c r="DT318" s="775">
        <f t="shared" si="426"/>
        <v>46.749322195031596</v>
      </c>
      <c r="DU318" s="775">
        <f t="shared" si="427"/>
        <v>123.71570957730755</v>
      </c>
      <c r="DV318" s="775">
        <f t="shared" si="428"/>
        <v>17.87437125419504</v>
      </c>
      <c r="DW318" s="775">
        <f t="shared" si="429"/>
        <v>12.882929786730539</v>
      </c>
      <c r="DX318" s="775">
        <f t="shared" si="430"/>
        <v>5.8558771757866079</v>
      </c>
      <c r="DY318" s="775">
        <f t="shared" si="431"/>
        <v>40.873315538848594</v>
      </c>
      <c r="DZ318" s="775">
        <f t="shared" si="432"/>
        <v>40.368018856663078</v>
      </c>
      <c r="EA318" s="775"/>
      <c r="EB318" s="775"/>
      <c r="EC318" s="775"/>
      <c r="ED318" s="775"/>
      <c r="EE318" s="775"/>
      <c r="EF318" s="775" t="b">
        <f t="shared" si="474"/>
        <v>0</v>
      </c>
      <c r="EG318" s="775">
        <f t="shared" si="433"/>
        <v>24.085264034620266</v>
      </c>
      <c r="EH318" s="775">
        <v>58</v>
      </c>
      <c r="EI318" s="775">
        <f t="shared" si="479"/>
        <v>29</v>
      </c>
      <c r="EJ318" s="673">
        <f t="shared" si="434"/>
        <v>4.914735965379732</v>
      </c>
      <c r="EK318" s="673">
        <f t="shared" si="435"/>
        <v>2.2510196371999172</v>
      </c>
      <c r="EL318" s="775" t="b">
        <f t="shared" si="436"/>
        <v>0</v>
      </c>
      <c r="EM318" s="673"/>
      <c r="EN318" s="775">
        <f t="shared" si="437"/>
        <v>4.914735965379732</v>
      </c>
      <c r="EO318" s="775">
        <f t="shared" si="438"/>
        <v>4.4338118467499188E-2</v>
      </c>
      <c r="EP318" s="775">
        <f t="shared" si="439"/>
        <v>2.9655085351362473E-3</v>
      </c>
      <c r="EQ318" s="775">
        <f t="shared" si="440"/>
        <v>5.189038060742754</v>
      </c>
      <c r="ER318" s="775">
        <f t="shared" si="441"/>
        <v>2.5853369205189725</v>
      </c>
      <c r="ES318" s="775">
        <f t="shared" si="442"/>
        <v>4.3584862557728004</v>
      </c>
      <c r="ET318" s="775">
        <f t="shared" si="443"/>
        <v>8.5704810911954894</v>
      </c>
      <c r="EU318" s="775">
        <f t="shared" si="444"/>
        <v>2.4156642248246407</v>
      </c>
      <c r="EV318" s="775">
        <f t="shared" si="445"/>
        <v>3.4392725028658866</v>
      </c>
      <c r="EW318" s="775">
        <f t="shared" si="446"/>
        <v>55.422648084373982</v>
      </c>
      <c r="EX318" s="775">
        <f t="shared" si="447"/>
        <v>8.9843729974157984</v>
      </c>
      <c r="EY318" s="775">
        <f t="shared" si="475"/>
        <v>25.603251541495304</v>
      </c>
      <c r="EZ318" s="775">
        <f t="shared" si="448"/>
        <v>11.637841609770591</v>
      </c>
      <c r="FA318" s="775">
        <f t="shared" si="449"/>
        <v>4.914735965379732</v>
      </c>
      <c r="FB318" s="775">
        <f t="shared" si="450"/>
        <v>3.67288261111015</v>
      </c>
      <c r="FC318" s="775"/>
      <c r="FD318" s="775"/>
      <c r="FE318" s="775"/>
      <c r="FF318" s="775"/>
      <c r="FG318" s="775"/>
      <c r="FH318" s="775"/>
      <c r="FI318" s="775"/>
      <c r="FJ318" s="775"/>
      <c r="FK318" s="775" t="b">
        <f t="shared" si="476"/>
        <v>0</v>
      </c>
      <c r="FL318" s="775">
        <f t="shared" si="451"/>
        <v>19.368018856663078</v>
      </c>
      <c r="FM318" s="775">
        <v>58</v>
      </c>
      <c r="FN318" s="775">
        <f t="shared" si="477"/>
        <v>21</v>
      </c>
      <c r="FO318" s="673">
        <f t="shared" si="480"/>
        <v>40.368018856663078</v>
      </c>
      <c r="FP318" s="673">
        <f t="shared" si="453"/>
        <v>31.576723317281619</v>
      </c>
      <c r="FQ318" s="775" t="b">
        <f t="shared" si="454"/>
        <v>1</v>
      </c>
      <c r="FR318" s="673"/>
      <c r="FS318" s="775">
        <f t="shared" si="455"/>
        <v>40.368018856663078</v>
      </c>
      <c r="FT318" s="775">
        <f t="shared" si="456"/>
        <v>8.8116602263039565E-2</v>
      </c>
      <c r="FU318" s="775">
        <f t="shared" si="457"/>
        <v>4.3277787544007008E-3</v>
      </c>
      <c r="FV318" s="775">
        <f t="shared" si="458"/>
        <v>8.9098117745318195</v>
      </c>
      <c r="FW318" s="775">
        <f t="shared" si="459"/>
        <v>4.5126979345468348</v>
      </c>
      <c r="FX318" s="775">
        <f t="shared" si="460"/>
        <v>57.956563467768326</v>
      </c>
      <c r="FY318" s="775">
        <f t="shared" si="461"/>
        <v>123.11211692030157</v>
      </c>
      <c r="FZ318" s="775">
        <f t="shared" si="462"/>
        <v>30.087993631547079</v>
      </c>
      <c r="GA318" s="775">
        <f t="shared" si="463"/>
        <v>46.749322195031596</v>
      </c>
      <c r="GB318" s="775">
        <f t="shared" si="464"/>
        <v>123.71570957730755</v>
      </c>
      <c r="GC318" s="775">
        <f t="shared" si="465"/>
        <v>17.87437125419504</v>
      </c>
      <c r="GD318" s="775">
        <f t="shared" si="466"/>
        <v>22.851746230606121</v>
      </c>
      <c r="GE318" s="775">
        <f t="shared" si="467"/>
        <v>10.387157377548236</v>
      </c>
      <c r="GF318" s="775">
        <f t="shared" si="468"/>
        <v>45.718825034680222</v>
      </c>
      <c r="GG318" s="775">
        <f t="shared" si="469"/>
        <v>40.368018856663078</v>
      </c>
    </row>
    <row r="319" spans="70:189">
      <c r="BR319" s="775"/>
      <c r="BS319" s="775"/>
      <c r="BT319" s="775"/>
      <c r="BU319" s="775"/>
      <c r="BV319" s="775"/>
      <c r="BW319" s="775"/>
      <c r="BX319" s="775"/>
      <c r="BY319" s="775" t="b">
        <f t="shared" si="470"/>
        <v>0</v>
      </c>
      <c r="BZ319" s="775">
        <f t="shared" si="397"/>
        <v>24.560876197581425</v>
      </c>
      <c r="CA319" s="775">
        <v>59</v>
      </c>
      <c r="CB319" s="775">
        <f t="shared" si="478"/>
        <v>29.5</v>
      </c>
      <c r="CC319" s="673">
        <f t="shared" si="398"/>
        <v>4.9391238024185737</v>
      </c>
      <c r="CD319" s="91">
        <f t="shared" si="396"/>
        <v>2</v>
      </c>
      <c r="CE319" s="775" t="b">
        <f t="shared" si="399"/>
        <v>0</v>
      </c>
      <c r="CF319" s="673"/>
      <c r="CG319" s="775">
        <f t="shared" si="400"/>
        <v>4.9391238024185737</v>
      </c>
      <c r="CH319" s="775">
        <f t="shared" si="401"/>
        <v>4.3601529254921605E-2</v>
      </c>
      <c r="CI319" s="775">
        <f t="shared" si="402"/>
        <v>2.9162425384659267E-3</v>
      </c>
      <c r="CJ319" s="775">
        <f t="shared" si="403"/>
        <v>5.1953120762775091</v>
      </c>
      <c r="CK319" s="775">
        <f t="shared" si="404"/>
        <v>2.5868666425834861</v>
      </c>
      <c r="CL319" s="775">
        <f t="shared" si="405"/>
        <v>4.376778468120512</v>
      </c>
      <c r="CM319" s="775">
        <f t="shared" si="406"/>
        <v>8.606450703313584</v>
      </c>
      <c r="CN319" s="775">
        <f t="shared" si="407"/>
        <v>2.4210360735221341</v>
      </c>
      <c r="CO319" s="775">
        <f t="shared" si="408"/>
        <v>3.4467119665761357</v>
      </c>
      <c r="CP319" s="775">
        <f t="shared" si="409"/>
        <v>54.501911568652005</v>
      </c>
      <c r="CQ319" s="775">
        <f t="shared" si="410"/>
        <v>8.835115598581412</v>
      </c>
      <c r="CR319" s="775">
        <f t="shared" si="471"/>
        <v>26.035784051584891</v>
      </c>
      <c r="CS319" s="775">
        <f t="shared" si="411"/>
        <v>11.834447296174949</v>
      </c>
      <c r="CT319" s="775">
        <f t="shared" si="412"/>
        <v>4.9391238024185737</v>
      </c>
      <c r="CU319" s="775">
        <f t="shared" si="413"/>
        <v>3.6830634807105405</v>
      </c>
      <c r="CV319" s="775"/>
      <c r="CW319" s="775"/>
      <c r="CX319" s="775"/>
      <c r="CY319" s="775"/>
      <c r="CZ319" s="775"/>
      <c r="DA319" s="775"/>
      <c r="DB319" s="775"/>
      <c r="DC319" s="775"/>
      <c r="DD319" s="775" t="b">
        <f t="shared" si="472"/>
        <v>0</v>
      </c>
      <c r="DE319" s="775">
        <f t="shared" si="414"/>
        <v>20.212261879280241</v>
      </c>
      <c r="DF319" s="775">
        <v>59</v>
      </c>
      <c r="DG319" s="775">
        <f t="shared" si="473"/>
        <v>20.5</v>
      </c>
      <c r="DH319" s="673">
        <f t="shared" si="415"/>
        <v>40.712261879280241</v>
      </c>
      <c r="DI319" s="673">
        <f t="shared" si="416"/>
        <v>26</v>
      </c>
      <c r="DJ319" s="775" t="b">
        <f t="shared" si="417"/>
        <v>1</v>
      </c>
      <c r="DK319" s="673"/>
      <c r="DL319" s="775">
        <f t="shared" si="418"/>
        <v>40.712261879280241</v>
      </c>
      <c r="DM319" s="775">
        <f t="shared" si="419"/>
        <v>9.0455227242772981E-2</v>
      </c>
      <c r="DN319" s="775">
        <f t="shared" si="420"/>
        <v>4.442638511153332E-3</v>
      </c>
      <c r="DO319" s="775">
        <f t="shared" si="421"/>
        <v>8.8860891163330216</v>
      </c>
      <c r="DP319" s="775">
        <f t="shared" si="422"/>
        <v>4.5066872033855017</v>
      </c>
      <c r="DQ319" s="775">
        <f t="shared" si="423"/>
        <v>47.409451489893115</v>
      </c>
      <c r="DR319" s="775">
        <f t="shared" si="424"/>
        <v>100.70779883622789</v>
      </c>
      <c r="DS319" s="775">
        <f t="shared" si="425"/>
        <v>29.967307957706989</v>
      </c>
      <c r="DT319" s="775">
        <f t="shared" si="426"/>
        <v>46.577930234466329</v>
      </c>
      <c r="DU319" s="775">
        <f t="shared" si="427"/>
        <v>126.99913904885327</v>
      </c>
      <c r="DV319" s="775">
        <f t="shared" si="428"/>
        <v>18.348759167919933</v>
      </c>
      <c r="DW319" s="775">
        <f t="shared" si="429"/>
        <v>12.549855156001479</v>
      </c>
      <c r="DX319" s="775">
        <f t="shared" si="430"/>
        <v>5.7044796163643081</v>
      </c>
      <c r="DY319" s="775">
        <f t="shared" si="431"/>
        <v>40.712261879280241</v>
      </c>
      <c r="DZ319" s="775">
        <f t="shared" si="432"/>
        <v>40.277987013195222</v>
      </c>
      <c r="EA319" s="775"/>
      <c r="EB319" s="775"/>
      <c r="EC319" s="775"/>
      <c r="ED319" s="775"/>
      <c r="EE319" s="775"/>
      <c r="EF319" s="775" t="b">
        <f t="shared" si="474"/>
        <v>0</v>
      </c>
      <c r="EG319" s="775">
        <f t="shared" si="433"/>
        <v>24.560876197581425</v>
      </c>
      <c r="EH319" s="775">
        <v>59</v>
      </c>
      <c r="EI319" s="775">
        <f t="shared" si="479"/>
        <v>29.5</v>
      </c>
      <c r="EJ319" s="673">
        <f t="shared" si="434"/>
        <v>4.9391238024185737</v>
      </c>
      <c r="EK319" s="673">
        <f t="shared" si="435"/>
        <v>2.2510196371999172</v>
      </c>
      <c r="EL319" s="775" t="b">
        <f t="shared" si="436"/>
        <v>0</v>
      </c>
      <c r="EM319" s="673"/>
      <c r="EN319" s="775">
        <f t="shared" si="437"/>
        <v>4.9391238024185737</v>
      </c>
      <c r="EO319" s="775">
        <f t="shared" si="438"/>
        <v>4.3601529254921605E-2</v>
      </c>
      <c r="EP319" s="775">
        <f t="shared" si="439"/>
        <v>2.9162425384659267E-3</v>
      </c>
      <c r="EQ319" s="775">
        <f t="shared" si="440"/>
        <v>5.1953120762775091</v>
      </c>
      <c r="ER319" s="775">
        <f t="shared" si="441"/>
        <v>2.5868666425834861</v>
      </c>
      <c r="ES319" s="775">
        <f t="shared" si="442"/>
        <v>4.376778468120512</v>
      </c>
      <c r="ET319" s="775">
        <f t="shared" si="443"/>
        <v>8.606450703313584</v>
      </c>
      <c r="EU319" s="775">
        <f t="shared" si="444"/>
        <v>2.4210360735221341</v>
      </c>
      <c r="EV319" s="775">
        <f t="shared" si="445"/>
        <v>3.4467119665761357</v>
      </c>
      <c r="EW319" s="775">
        <f t="shared" si="446"/>
        <v>54.501911568652005</v>
      </c>
      <c r="EX319" s="775">
        <f t="shared" si="447"/>
        <v>8.835115598581412</v>
      </c>
      <c r="EY319" s="775">
        <f t="shared" si="475"/>
        <v>26.035784051584891</v>
      </c>
      <c r="EZ319" s="775">
        <f t="shared" si="448"/>
        <v>11.834447296174949</v>
      </c>
      <c r="FA319" s="775">
        <f t="shared" si="449"/>
        <v>4.9391238024185737</v>
      </c>
      <c r="FB319" s="775">
        <f t="shared" si="450"/>
        <v>3.6830634807105405</v>
      </c>
      <c r="FC319" s="775"/>
      <c r="FD319" s="775"/>
      <c r="FE319" s="775"/>
      <c r="FF319" s="775"/>
      <c r="FG319" s="775"/>
      <c r="FH319" s="775"/>
      <c r="FI319" s="775"/>
      <c r="FJ319" s="775"/>
      <c r="FK319" s="775" t="b">
        <f t="shared" si="476"/>
        <v>0</v>
      </c>
      <c r="FL319" s="775">
        <f t="shared" si="451"/>
        <v>19.777987013195222</v>
      </c>
      <c r="FM319" s="775">
        <v>59</v>
      </c>
      <c r="FN319" s="775">
        <f t="shared" si="477"/>
        <v>20.5</v>
      </c>
      <c r="FO319" s="673">
        <f t="shared" si="480"/>
        <v>40.277987013195222</v>
      </c>
      <c r="FP319" s="673">
        <f t="shared" si="453"/>
        <v>31.576723317281619</v>
      </c>
      <c r="FQ319" s="775" t="b">
        <f t="shared" si="454"/>
        <v>1</v>
      </c>
      <c r="FR319" s="673"/>
      <c r="FS319" s="775">
        <f t="shared" si="455"/>
        <v>40.277987013195222</v>
      </c>
      <c r="FT319" s="775">
        <f t="shared" si="456"/>
        <v>9.0455227242772981E-2</v>
      </c>
      <c r="FU319" s="775">
        <f t="shared" si="457"/>
        <v>4.442638511153332E-3</v>
      </c>
      <c r="FV319" s="775">
        <f t="shared" si="458"/>
        <v>8.8860891163330216</v>
      </c>
      <c r="FW319" s="775">
        <f t="shared" si="459"/>
        <v>4.5066872033855017</v>
      </c>
      <c r="FX319" s="775">
        <f t="shared" si="460"/>
        <v>57.578274320016916</v>
      </c>
      <c r="FY319" s="775">
        <f t="shared" si="461"/>
        <v>122.30854999015476</v>
      </c>
      <c r="FZ319" s="775">
        <f t="shared" si="462"/>
        <v>29.967307957706989</v>
      </c>
      <c r="GA319" s="775">
        <f t="shared" si="463"/>
        <v>46.577930234466329</v>
      </c>
      <c r="GB319" s="775">
        <f t="shared" si="464"/>
        <v>126.99913904885327</v>
      </c>
      <c r="GC319" s="775">
        <f t="shared" si="465"/>
        <v>18.348759167919933</v>
      </c>
      <c r="GD319" s="775">
        <f t="shared" si="466"/>
        <v>22.260938311656428</v>
      </c>
      <c r="GE319" s="775">
        <f t="shared" si="467"/>
        <v>10.118608323480194</v>
      </c>
      <c r="GF319" s="775">
        <f t="shared" si="468"/>
        <v>45.553920820976849</v>
      </c>
      <c r="GG319" s="775">
        <f t="shared" si="469"/>
        <v>40.277987013195222</v>
      </c>
    </row>
    <row r="320" spans="70:189">
      <c r="BR320" s="775"/>
      <c r="BS320" s="775"/>
      <c r="BT320" s="775"/>
      <c r="BU320" s="775"/>
      <c r="BV320" s="775"/>
      <c r="BW320" s="775"/>
      <c r="BX320" s="775"/>
      <c r="BY320" s="775" t="b">
        <f t="shared" si="470"/>
        <v>0</v>
      </c>
      <c r="BZ320" s="775">
        <f t="shared" si="397"/>
        <v>25.036810743667694</v>
      </c>
      <c r="CA320" s="775">
        <v>60</v>
      </c>
      <c r="CB320" s="775">
        <f t="shared" si="478"/>
        <v>30</v>
      </c>
      <c r="CC320" s="673">
        <f t="shared" si="398"/>
        <v>4.9631892563323072</v>
      </c>
      <c r="CD320" s="91">
        <f t="shared" si="396"/>
        <v>2</v>
      </c>
      <c r="CE320" s="775" t="b">
        <f t="shared" si="399"/>
        <v>0</v>
      </c>
      <c r="CF320" s="673"/>
      <c r="CG320" s="775">
        <f t="shared" si="400"/>
        <v>4.9631892563323072</v>
      </c>
      <c r="CH320" s="775">
        <f t="shared" si="401"/>
        <v>4.2889251572393448E-2</v>
      </c>
      <c r="CI320" s="775">
        <f t="shared" si="402"/>
        <v>2.8686025929758477E-3</v>
      </c>
      <c r="CJ320" s="775">
        <f t="shared" si="403"/>
        <v>5.2013978072967655</v>
      </c>
      <c r="CK320" s="775">
        <f t="shared" si="404"/>
        <v>2.5883484607261544</v>
      </c>
      <c r="CL320" s="775">
        <f t="shared" si="405"/>
        <v>4.3948380782498617</v>
      </c>
      <c r="CM320" s="775">
        <f t="shared" si="406"/>
        <v>8.6419629288994635</v>
      </c>
      <c r="CN320" s="775">
        <f t="shared" si="407"/>
        <v>2.4263280991743739</v>
      </c>
      <c r="CO320" s="775">
        <f t="shared" si="408"/>
        <v>3.4540411711605556</v>
      </c>
      <c r="CP320" s="775">
        <f t="shared" si="409"/>
        <v>53.61156446549181</v>
      </c>
      <c r="CQ320" s="775">
        <f t="shared" si="410"/>
        <v>8.69078452187461</v>
      </c>
      <c r="CR320" s="775">
        <f t="shared" si="471"/>
        <v>26.46816995824415</v>
      </c>
      <c r="CS320" s="775">
        <f t="shared" si="411"/>
        <v>12.030986344656432</v>
      </c>
      <c r="CT320" s="775">
        <f t="shared" si="412"/>
        <v>4.9631892563323072</v>
      </c>
      <c r="CU320" s="775">
        <f t="shared" si="413"/>
        <v>3.6930913570192376</v>
      </c>
      <c r="CV320" s="775"/>
      <c r="CW320" s="775"/>
      <c r="CX320" s="775"/>
      <c r="CY320" s="775"/>
      <c r="CZ320" s="775"/>
      <c r="DA320" s="775"/>
      <c r="DB320" s="775"/>
      <c r="DC320" s="775"/>
      <c r="DD320" s="775" t="b">
        <f t="shared" si="472"/>
        <v>0</v>
      </c>
      <c r="DE320" s="775">
        <f t="shared" si="414"/>
        <v>20.54741798768967</v>
      </c>
      <c r="DF320" s="775">
        <v>60</v>
      </c>
      <c r="DG320" s="775">
        <f t="shared" si="473"/>
        <v>20</v>
      </c>
      <c r="DH320" s="673">
        <f t="shared" si="415"/>
        <v>40.54741798768967</v>
      </c>
      <c r="DI320" s="673">
        <f t="shared" si="416"/>
        <v>26</v>
      </c>
      <c r="DJ320" s="775" t="b">
        <f t="shared" si="417"/>
        <v>1</v>
      </c>
      <c r="DK320" s="673"/>
      <c r="DL320" s="775">
        <f t="shared" si="418"/>
        <v>40.54741798768967</v>
      </c>
      <c r="DM320" s="775">
        <f t="shared" si="419"/>
        <v>9.2916001150509395E-2</v>
      </c>
      <c r="DN320" s="775">
        <f t="shared" si="420"/>
        <v>4.5634975180121589E-3</v>
      </c>
      <c r="DO320" s="775">
        <f t="shared" si="421"/>
        <v>8.8613039239343063</v>
      </c>
      <c r="DP320" s="775">
        <f t="shared" si="422"/>
        <v>4.5003883859684315</v>
      </c>
      <c r="DQ320" s="775">
        <f t="shared" si="423"/>
        <v>47.092388729928629</v>
      </c>
      <c r="DR320" s="775">
        <f t="shared" si="424"/>
        <v>100.03428982809751</v>
      </c>
      <c r="DS320" s="775">
        <f t="shared" si="425"/>
        <v>29.844027363400027</v>
      </c>
      <c r="DT320" s="775">
        <f t="shared" si="426"/>
        <v>46.402847105417031</v>
      </c>
      <c r="DU320" s="775">
        <f t="shared" si="427"/>
        <v>130.45406561531519</v>
      </c>
      <c r="DV320" s="775">
        <f t="shared" si="428"/>
        <v>18.847924878692762</v>
      </c>
      <c r="DW320" s="775">
        <f t="shared" si="429"/>
        <v>12.217486610956852</v>
      </c>
      <c r="DX320" s="775">
        <f t="shared" si="430"/>
        <v>5.5534030049803871</v>
      </c>
      <c r="DY320" s="775">
        <f t="shared" si="431"/>
        <v>40.54741798768967</v>
      </c>
      <c r="DZ320" s="775">
        <f t="shared" si="432"/>
        <v>40.185735069019074</v>
      </c>
      <c r="EA320" s="775"/>
      <c r="EB320" s="775"/>
      <c r="EC320" s="775"/>
      <c r="ED320" s="775"/>
      <c r="EE320" s="775"/>
      <c r="EF320" s="775" t="b">
        <f t="shared" si="474"/>
        <v>0</v>
      </c>
      <c r="EG320" s="775">
        <f t="shared" si="433"/>
        <v>25.036810743667694</v>
      </c>
      <c r="EH320" s="775">
        <v>60</v>
      </c>
      <c r="EI320" s="775">
        <f t="shared" si="479"/>
        <v>30</v>
      </c>
      <c r="EJ320" s="673">
        <f t="shared" si="434"/>
        <v>4.9631892563323072</v>
      </c>
      <c r="EK320" s="673">
        <f t="shared" si="435"/>
        <v>2.2510196371999172</v>
      </c>
      <c r="EL320" s="775" t="b">
        <f t="shared" si="436"/>
        <v>0</v>
      </c>
      <c r="EM320" s="673"/>
      <c r="EN320" s="775">
        <f t="shared" si="437"/>
        <v>4.9631892563323072</v>
      </c>
      <c r="EO320" s="775">
        <f t="shared" si="438"/>
        <v>4.2889251572393448E-2</v>
      </c>
      <c r="EP320" s="775">
        <f t="shared" si="439"/>
        <v>2.8686025929758477E-3</v>
      </c>
      <c r="EQ320" s="775">
        <f t="shared" si="440"/>
        <v>5.2013978072967655</v>
      </c>
      <c r="ER320" s="775">
        <f t="shared" si="441"/>
        <v>2.5883484607261544</v>
      </c>
      <c r="ES320" s="775">
        <f t="shared" si="442"/>
        <v>4.3948380782498617</v>
      </c>
      <c r="ET320" s="775">
        <f t="shared" si="443"/>
        <v>8.6419629288994635</v>
      </c>
      <c r="EU320" s="775">
        <f t="shared" si="444"/>
        <v>2.4263280991743739</v>
      </c>
      <c r="EV320" s="775">
        <f t="shared" si="445"/>
        <v>3.4540411711605556</v>
      </c>
      <c r="EW320" s="775">
        <f t="shared" si="446"/>
        <v>53.61156446549181</v>
      </c>
      <c r="EX320" s="775">
        <f t="shared" si="447"/>
        <v>8.69078452187461</v>
      </c>
      <c r="EY320" s="775">
        <f t="shared" si="475"/>
        <v>26.46816995824415</v>
      </c>
      <c r="EZ320" s="775">
        <f t="shared" si="448"/>
        <v>12.030986344656432</v>
      </c>
      <c r="FA320" s="775">
        <f t="shared" si="449"/>
        <v>4.9631892563323072</v>
      </c>
      <c r="FB320" s="775">
        <f t="shared" si="450"/>
        <v>3.6930913570192376</v>
      </c>
      <c r="FC320" s="775"/>
      <c r="FD320" s="775"/>
      <c r="FE320" s="775"/>
      <c r="FF320" s="775"/>
      <c r="FG320" s="775"/>
      <c r="FH320" s="775"/>
      <c r="FI320" s="775"/>
      <c r="FJ320" s="775"/>
      <c r="FK320" s="775" t="b">
        <f t="shared" si="476"/>
        <v>0</v>
      </c>
      <c r="FL320" s="775">
        <f t="shared" si="451"/>
        <v>20.185735069019074</v>
      </c>
      <c r="FM320" s="775">
        <v>60</v>
      </c>
      <c r="FN320" s="775">
        <f t="shared" si="477"/>
        <v>20</v>
      </c>
      <c r="FO320" s="673">
        <f t="shared" si="480"/>
        <v>40.185735069019074</v>
      </c>
      <c r="FP320" s="673">
        <f t="shared" si="453"/>
        <v>31.576723317281619</v>
      </c>
      <c r="FQ320" s="775" t="b">
        <f t="shared" si="454"/>
        <v>1</v>
      </c>
      <c r="FR320" s="673"/>
      <c r="FS320" s="775">
        <f t="shared" si="455"/>
        <v>40.185735069019074</v>
      </c>
      <c r="FT320" s="775">
        <f t="shared" si="456"/>
        <v>9.2916001150509395E-2</v>
      </c>
      <c r="FU320" s="775">
        <f t="shared" si="457"/>
        <v>4.5634975180121589E-3</v>
      </c>
      <c r="FV320" s="775">
        <f t="shared" si="458"/>
        <v>8.8613039239343063</v>
      </c>
      <c r="FW320" s="775">
        <f t="shared" si="459"/>
        <v>4.5003883859684315</v>
      </c>
      <c r="FX320" s="775">
        <f t="shared" si="460"/>
        <v>57.193204972108752</v>
      </c>
      <c r="FY320" s="775">
        <f t="shared" si="461"/>
        <v>121.49058046702287</v>
      </c>
      <c r="FZ320" s="775">
        <f t="shared" si="462"/>
        <v>29.844027363400027</v>
      </c>
      <c r="GA320" s="775">
        <f t="shared" si="463"/>
        <v>46.402847105417031</v>
      </c>
      <c r="GB320" s="775">
        <f t="shared" si="464"/>
        <v>130.45406561531519</v>
      </c>
      <c r="GC320" s="775">
        <f t="shared" si="465"/>
        <v>18.847924878692762</v>
      </c>
      <c r="GD320" s="775">
        <f t="shared" si="466"/>
        <v>21.671382847788365</v>
      </c>
      <c r="GE320" s="775">
        <f t="shared" si="467"/>
        <v>9.8506285671765283</v>
      </c>
      <c r="GF320" s="775">
        <f t="shared" si="468"/>
        <v>45.385028738882781</v>
      </c>
      <c r="GG320" s="775">
        <f t="shared" si="469"/>
        <v>40.185735069019074</v>
      </c>
    </row>
    <row r="321" spans="70:189">
      <c r="BR321" s="775"/>
      <c r="BS321" s="775"/>
      <c r="BT321" s="775"/>
      <c r="BU321" s="775"/>
      <c r="BV321" s="775"/>
      <c r="BW321" s="775"/>
      <c r="BX321" s="775"/>
      <c r="BY321" s="775" t="b">
        <f t="shared" si="470"/>
        <v>0</v>
      </c>
      <c r="BZ321" s="775">
        <f t="shared" si="397"/>
        <v>25.513058189301333</v>
      </c>
      <c r="CA321" s="775">
        <v>61</v>
      </c>
      <c r="CB321" s="775">
        <f t="shared" si="478"/>
        <v>30.5</v>
      </c>
      <c r="CC321" s="673">
        <f t="shared" si="398"/>
        <v>4.986941810698668</v>
      </c>
      <c r="CD321" s="91">
        <f t="shared" si="396"/>
        <v>2</v>
      </c>
      <c r="CE321" s="775" t="b">
        <f t="shared" si="399"/>
        <v>0</v>
      </c>
      <c r="CF321" s="673"/>
      <c r="CG321" s="775">
        <f t="shared" si="400"/>
        <v>4.986941810698668</v>
      </c>
      <c r="CH321" s="775">
        <f t="shared" si="401"/>
        <v>4.2200097544984279E-2</v>
      </c>
      <c r="CI321" s="775">
        <f t="shared" si="402"/>
        <v>2.8225092488975805E-3</v>
      </c>
      <c r="CJ321" s="775">
        <f t="shared" si="403"/>
        <v>5.207303642960583</v>
      </c>
      <c r="CK321" s="775">
        <f t="shared" si="404"/>
        <v>2.5897845990616828</v>
      </c>
      <c r="CL321" s="775">
        <f t="shared" si="405"/>
        <v>4.4126718477753792</v>
      </c>
      <c r="CM321" s="775">
        <f t="shared" si="406"/>
        <v>8.6770310639201345</v>
      </c>
      <c r="CN321" s="775">
        <f t="shared" si="407"/>
        <v>2.4315427904668683</v>
      </c>
      <c r="CO321" s="775">
        <f t="shared" si="408"/>
        <v>3.4612635495652544</v>
      </c>
      <c r="CP321" s="775">
        <f t="shared" si="409"/>
        <v>52.750121931230346</v>
      </c>
      <c r="CQ321" s="775">
        <f t="shared" si="410"/>
        <v>8.5511390644460583</v>
      </c>
      <c r="CR321" s="775">
        <f t="shared" si="471"/>
        <v>26.900411753548777</v>
      </c>
      <c r="CS321" s="775">
        <f t="shared" si="411"/>
        <v>12.227459887976716</v>
      </c>
      <c r="CT321" s="775">
        <f t="shared" si="412"/>
        <v>4.986941810698668</v>
      </c>
      <c r="CU321" s="775">
        <f t="shared" si="413"/>
        <v>3.7029710304632193</v>
      </c>
      <c r="CV321" s="775"/>
      <c r="CW321" s="775"/>
      <c r="CX321" s="775"/>
      <c r="CY321" s="775"/>
      <c r="CZ321" s="775"/>
      <c r="DA321" s="775"/>
      <c r="DB321" s="775"/>
      <c r="DC321" s="775"/>
      <c r="DD321" s="775" t="b">
        <f t="shared" si="472"/>
        <v>0</v>
      </c>
      <c r="DE321" s="775">
        <f t="shared" si="414"/>
        <v>20.878600224121875</v>
      </c>
      <c r="DF321" s="775">
        <v>61</v>
      </c>
      <c r="DG321" s="775">
        <f t="shared" si="473"/>
        <v>19.5</v>
      </c>
      <c r="DH321" s="673">
        <f t="shared" si="415"/>
        <v>40.378600224121875</v>
      </c>
      <c r="DI321" s="673">
        <f t="shared" si="416"/>
        <v>26</v>
      </c>
      <c r="DJ321" s="775" t="b">
        <f t="shared" si="417"/>
        <v>1</v>
      </c>
      <c r="DK321" s="673"/>
      <c r="DL321" s="775">
        <f t="shared" si="418"/>
        <v>40.378600224121875</v>
      </c>
      <c r="DM321" s="775">
        <f t="shared" si="419"/>
        <v>9.5508603158042257E-2</v>
      </c>
      <c r="DN321" s="775">
        <f t="shared" si="420"/>
        <v>4.690831160012148E-3</v>
      </c>
      <c r="DO321" s="775">
        <f t="shared" si="421"/>
        <v>8.8353844825319978</v>
      </c>
      <c r="DP321" s="775">
        <f t="shared" si="422"/>
        <v>4.4937806173872774</v>
      </c>
      <c r="DQ321" s="775">
        <f t="shared" si="423"/>
        <v>46.769499742139494</v>
      </c>
      <c r="DR321" s="775">
        <f t="shared" si="424"/>
        <v>99.348404667927866</v>
      </c>
      <c r="DS321" s="775">
        <f t="shared" si="425"/>
        <v>29.718029218733431</v>
      </c>
      <c r="DT321" s="775">
        <f t="shared" si="426"/>
        <v>46.223897908686119</v>
      </c>
      <c r="DU321" s="775">
        <f t="shared" si="427"/>
        <v>134.09407883389133</v>
      </c>
      <c r="DV321" s="775">
        <f t="shared" si="428"/>
        <v>19.37383179755783</v>
      </c>
      <c r="DW321" s="775">
        <f t="shared" si="429"/>
        <v>11.885840253799284</v>
      </c>
      <c r="DX321" s="775">
        <f t="shared" si="430"/>
        <v>5.4026546608178556</v>
      </c>
      <c r="DY321" s="775">
        <f t="shared" si="431"/>
        <v>40.378600224121875</v>
      </c>
      <c r="DZ321" s="775">
        <f t="shared" si="432"/>
        <v>40.091151103428231</v>
      </c>
      <c r="EA321" s="775"/>
      <c r="EB321" s="775"/>
      <c r="EC321" s="775"/>
      <c r="ED321" s="775"/>
      <c r="EE321" s="775"/>
      <c r="EF321" s="775" t="b">
        <f t="shared" si="474"/>
        <v>0</v>
      </c>
      <c r="EG321" s="775">
        <f t="shared" si="433"/>
        <v>25.513058189301333</v>
      </c>
      <c r="EH321" s="775">
        <v>61</v>
      </c>
      <c r="EI321" s="775">
        <f t="shared" si="479"/>
        <v>30.5</v>
      </c>
      <c r="EJ321" s="673">
        <f t="shared" si="434"/>
        <v>4.986941810698668</v>
      </c>
      <c r="EK321" s="673">
        <f t="shared" si="435"/>
        <v>2.2510196371999172</v>
      </c>
      <c r="EL321" s="775" t="b">
        <f t="shared" si="436"/>
        <v>0</v>
      </c>
      <c r="EM321" s="673"/>
      <c r="EN321" s="775">
        <f t="shared" si="437"/>
        <v>4.986941810698668</v>
      </c>
      <c r="EO321" s="775">
        <f t="shared" si="438"/>
        <v>4.2200097544984279E-2</v>
      </c>
      <c r="EP321" s="775">
        <f t="shared" si="439"/>
        <v>2.8225092488975805E-3</v>
      </c>
      <c r="EQ321" s="775">
        <f t="shared" si="440"/>
        <v>5.207303642960583</v>
      </c>
      <c r="ER321" s="775">
        <f t="shared" si="441"/>
        <v>2.5897845990616828</v>
      </c>
      <c r="ES321" s="775">
        <f t="shared" si="442"/>
        <v>4.4126718477753792</v>
      </c>
      <c r="ET321" s="775">
        <f t="shared" si="443"/>
        <v>8.6770310639201345</v>
      </c>
      <c r="EU321" s="775">
        <f t="shared" si="444"/>
        <v>2.4315427904668683</v>
      </c>
      <c r="EV321" s="775">
        <f t="shared" si="445"/>
        <v>3.4612635495652544</v>
      </c>
      <c r="EW321" s="775">
        <f t="shared" si="446"/>
        <v>52.750121931230346</v>
      </c>
      <c r="EX321" s="775">
        <f t="shared" si="447"/>
        <v>8.5511390644460583</v>
      </c>
      <c r="EY321" s="775">
        <f t="shared" si="475"/>
        <v>26.900411753548777</v>
      </c>
      <c r="EZ321" s="775">
        <f t="shared" si="448"/>
        <v>12.227459887976716</v>
      </c>
      <c r="FA321" s="775">
        <f t="shared" si="449"/>
        <v>4.986941810698668</v>
      </c>
      <c r="FB321" s="775">
        <f t="shared" si="450"/>
        <v>3.7029710304632193</v>
      </c>
      <c r="FC321" s="775"/>
      <c r="FD321" s="775"/>
      <c r="FE321" s="775"/>
      <c r="FF321" s="775"/>
      <c r="FG321" s="775"/>
      <c r="FH321" s="775"/>
      <c r="FI321" s="775"/>
      <c r="FJ321" s="775"/>
      <c r="FK321" s="775" t="b">
        <f t="shared" si="476"/>
        <v>0</v>
      </c>
      <c r="FL321" s="775">
        <f t="shared" si="451"/>
        <v>20.591151103428231</v>
      </c>
      <c r="FM321" s="775">
        <v>61</v>
      </c>
      <c r="FN321" s="775">
        <f t="shared" si="477"/>
        <v>19.5</v>
      </c>
      <c r="FO321" s="673">
        <f t="shared" si="480"/>
        <v>40.091151103428231</v>
      </c>
      <c r="FP321" s="673">
        <f t="shared" si="453"/>
        <v>31.576723317281619</v>
      </c>
      <c r="FQ321" s="775" t="b">
        <f t="shared" si="454"/>
        <v>1</v>
      </c>
      <c r="FR321" s="673"/>
      <c r="FS321" s="775">
        <f t="shared" si="455"/>
        <v>40.091151103428231</v>
      </c>
      <c r="FT321" s="775">
        <f t="shared" si="456"/>
        <v>9.5508603158042257E-2</v>
      </c>
      <c r="FU321" s="775">
        <f t="shared" si="457"/>
        <v>4.690831160012148E-3</v>
      </c>
      <c r="FV321" s="775">
        <f t="shared" si="458"/>
        <v>8.8353844825319978</v>
      </c>
      <c r="FW321" s="775">
        <f t="shared" si="459"/>
        <v>4.4937806173872774</v>
      </c>
      <c r="FX321" s="775">
        <f t="shared" si="460"/>
        <v>56.801059732508186</v>
      </c>
      <c r="FY321" s="775">
        <f t="shared" si="461"/>
        <v>120.65758023894185</v>
      </c>
      <c r="FZ321" s="775">
        <f t="shared" si="462"/>
        <v>29.718029218733431</v>
      </c>
      <c r="GA321" s="775">
        <f t="shared" si="463"/>
        <v>46.223897908686119</v>
      </c>
      <c r="GB321" s="775">
        <f t="shared" si="464"/>
        <v>134.09407883389133</v>
      </c>
      <c r="GC321" s="775">
        <f t="shared" si="465"/>
        <v>19.37383179755783</v>
      </c>
      <c r="GD321" s="775">
        <f t="shared" si="466"/>
        <v>21.083108401095672</v>
      </c>
      <c r="GE321" s="775">
        <f t="shared" si="467"/>
        <v>9.5832310914071233</v>
      </c>
      <c r="GF321" s="775">
        <f t="shared" si="468"/>
        <v>45.21195287910929</v>
      </c>
      <c r="GG321" s="775">
        <f t="shared" si="469"/>
        <v>40.091151103428231</v>
      </c>
    </row>
    <row r="322" spans="70:189">
      <c r="BR322" s="775"/>
      <c r="BS322" s="775"/>
      <c r="BT322" s="775"/>
      <c r="BU322" s="775"/>
      <c r="BV322" s="775"/>
      <c r="BW322" s="775"/>
      <c r="BX322" s="775"/>
      <c r="BY322" s="775" t="b">
        <f t="shared" si="470"/>
        <v>0</v>
      </c>
      <c r="BZ322" s="775">
        <f t="shared" si="397"/>
        <v>25.989609479419414</v>
      </c>
      <c r="CA322" s="775">
        <v>62</v>
      </c>
      <c r="CB322" s="775">
        <f t="shared" si="478"/>
        <v>31</v>
      </c>
      <c r="CC322" s="673">
        <f t="shared" si="398"/>
        <v>5.010390520580585</v>
      </c>
      <c r="CD322" s="91">
        <f t="shared" si="396"/>
        <v>2</v>
      </c>
      <c r="CE322" s="775" t="b">
        <f t="shared" si="399"/>
        <v>0</v>
      </c>
      <c r="CF322" s="673"/>
      <c r="CG322" s="775">
        <f t="shared" si="400"/>
        <v>5.010390520580585</v>
      </c>
      <c r="CH322" s="775">
        <f t="shared" si="401"/>
        <v>4.1532955564141771E-2</v>
      </c>
      <c r="CI322" s="775">
        <f t="shared" si="402"/>
        <v>2.7778881574593776E-3</v>
      </c>
      <c r="CJ322" s="775">
        <f t="shared" si="403"/>
        <v>5.2130374799515264</v>
      </c>
      <c r="CK322" s="775">
        <f t="shared" si="404"/>
        <v>2.5911771458284814</v>
      </c>
      <c r="CL322" s="775">
        <f t="shared" si="405"/>
        <v>4.4302862347765917</v>
      </c>
      <c r="CM322" s="775">
        <f t="shared" si="406"/>
        <v>8.7116678074746066</v>
      </c>
      <c r="CN322" s="775">
        <f t="shared" si="407"/>
        <v>2.4366825192259416</v>
      </c>
      <c r="CO322" s="775">
        <f t="shared" si="408"/>
        <v>3.4683823736849289</v>
      </c>
      <c r="CP322" s="775">
        <f t="shared" si="409"/>
        <v>51.916194455177212</v>
      </c>
      <c r="CQ322" s="775">
        <f t="shared" si="410"/>
        <v>8.4159539775435199</v>
      </c>
      <c r="CR322" s="775">
        <f t="shared" si="471"/>
        <v>27.33251184705226</v>
      </c>
      <c r="CS322" s="775">
        <f t="shared" si="411"/>
        <v>12.423869021387389</v>
      </c>
      <c r="CT322" s="775">
        <f t="shared" si="412"/>
        <v>5.010390520580585</v>
      </c>
      <c r="CU322" s="775">
        <f t="shared" si="413"/>
        <v>3.7127070659594761</v>
      </c>
      <c r="CV322" s="775"/>
      <c r="CW322" s="775"/>
      <c r="CX322" s="775"/>
      <c r="CY322" s="775"/>
      <c r="CZ322" s="775"/>
      <c r="DA322" s="775"/>
      <c r="DB322" s="775"/>
      <c r="DC322" s="775"/>
      <c r="DD322" s="775" t="b">
        <f t="shared" si="472"/>
        <v>0</v>
      </c>
      <c r="DE322" s="775">
        <f t="shared" si="414"/>
        <v>21.205611147626122</v>
      </c>
      <c r="DF322" s="775">
        <v>62</v>
      </c>
      <c r="DG322" s="775">
        <f t="shared" si="473"/>
        <v>19</v>
      </c>
      <c r="DH322" s="673">
        <f t="shared" si="415"/>
        <v>40.205611147626122</v>
      </c>
      <c r="DI322" s="673">
        <f t="shared" si="416"/>
        <v>26</v>
      </c>
      <c r="DJ322" s="775" t="b">
        <f t="shared" si="417"/>
        <v>1</v>
      </c>
      <c r="DK322" s="673"/>
      <c r="DL322" s="775">
        <f t="shared" si="418"/>
        <v>40.205611147626122</v>
      </c>
      <c r="DM322" s="775">
        <f t="shared" si="419"/>
        <v>9.8243754625285978E-2</v>
      </c>
      <c r="DN322" s="775">
        <f t="shared" si="420"/>
        <v>4.8251660084516045E-3</v>
      </c>
      <c r="DO322" s="775">
        <f t="shared" si="421"/>
        <v>8.8082525389860606</v>
      </c>
      <c r="DP322" s="775">
        <f t="shared" si="422"/>
        <v>4.486840986590777</v>
      </c>
      <c r="DQ322" s="775">
        <f t="shared" si="423"/>
        <v>46.44052385979866</v>
      </c>
      <c r="DR322" s="775">
        <f t="shared" si="424"/>
        <v>98.649589643927541</v>
      </c>
      <c r="DS322" s="775">
        <f t="shared" si="425"/>
        <v>29.589181775055735</v>
      </c>
      <c r="DT322" s="775">
        <f t="shared" si="426"/>
        <v>46.040894705582133</v>
      </c>
      <c r="DU322" s="775">
        <f t="shared" si="427"/>
        <v>137.93423149390151</v>
      </c>
      <c r="DV322" s="775">
        <f t="shared" si="428"/>
        <v>19.928654742455659</v>
      </c>
      <c r="DW322" s="775">
        <f t="shared" si="429"/>
        <v>11.554932975941274</v>
      </c>
      <c r="DX322" s="775">
        <f t="shared" si="430"/>
        <v>5.2522422617914879</v>
      </c>
      <c r="DY322" s="775">
        <f t="shared" si="431"/>
        <v>40.205611147626122</v>
      </c>
      <c r="DZ322" s="775">
        <f t="shared" si="432"/>
        <v>39.994114511404476</v>
      </c>
      <c r="EA322" s="775"/>
      <c r="EB322" s="775"/>
      <c r="EC322" s="775"/>
      <c r="ED322" s="775"/>
      <c r="EE322" s="775"/>
      <c r="EF322" s="775" t="b">
        <f t="shared" si="474"/>
        <v>0</v>
      </c>
      <c r="EG322" s="775">
        <f t="shared" si="433"/>
        <v>25.989609479419414</v>
      </c>
      <c r="EH322" s="775">
        <v>62</v>
      </c>
      <c r="EI322" s="775">
        <f t="shared" si="479"/>
        <v>31</v>
      </c>
      <c r="EJ322" s="673">
        <f t="shared" si="434"/>
        <v>5.010390520580585</v>
      </c>
      <c r="EK322" s="673">
        <f t="shared" si="435"/>
        <v>2.2510196371999172</v>
      </c>
      <c r="EL322" s="775" t="b">
        <f t="shared" si="436"/>
        <v>0</v>
      </c>
      <c r="EM322" s="673"/>
      <c r="EN322" s="775">
        <f t="shared" si="437"/>
        <v>5.010390520580585</v>
      </c>
      <c r="EO322" s="775">
        <f t="shared" si="438"/>
        <v>4.1532955564141771E-2</v>
      </c>
      <c r="EP322" s="775">
        <f t="shared" si="439"/>
        <v>2.7778881574593776E-3</v>
      </c>
      <c r="EQ322" s="775">
        <f t="shared" si="440"/>
        <v>5.2130374799515264</v>
      </c>
      <c r="ER322" s="775">
        <f t="shared" si="441"/>
        <v>2.5911771458284814</v>
      </c>
      <c r="ES322" s="775">
        <f t="shared" si="442"/>
        <v>4.4302862347765917</v>
      </c>
      <c r="ET322" s="775">
        <f t="shared" si="443"/>
        <v>8.7116678074746066</v>
      </c>
      <c r="EU322" s="775">
        <f t="shared" si="444"/>
        <v>2.4366825192259416</v>
      </c>
      <c r="EV322" s="775">
        <f t="shared" si="445"/>
        <v>3.4683823736849289</v>
      </c>
      <c r="EW322" s="775">
        <f t="shared" si="446"/>
        <v>51.916194455177212</v>
      </c>
      <c r="EX322" s="775">
        <f t="shared" si="447"/>
        <v>8.4159539775435199</v>
      </c>
      <c r="EY322" s="775">
        <f t="shared" si="475"/>
        <v>27.33251184705226</v>
      </c>
      <c r="EZ322" s="775">
        <f t="shared" si="448"/>
        <v>12.423869021387389</v>
      </c>
      <c r="FA322" s="775">
        <f t="shared" si="449"/>
        <v>5.010390520580585</v>
      </c>
      <c r="FB322" s="775">
        <f t="shared" si="450"/>
        <v>3.7127070659594761</v>
      </c>
      <c r="FC322" s="775"/>
      <c r="FD322" s="775"/>
      <c r="FE322" s="775"/>
      <c r="FF322" s="775"/>
      <c r="FG322" s="775"/>
      <c r="FH322" s="775"/>
      <c r="FI322" s="775"/>
      <c r="FJ322" s="775"/>
      <c r="FK322" s="775" t="b">
        <f t="shared" si="476"/>
        <v>0</v>
      </c>
      <c r="FL322" s="775">
        <f t="shared" si="451"/>
        <v>20.994114511404476</v>
      </c>
      <c r="FM322" s="775">
        <v>62</v>
      </c>
      <c r="FN322" s="775">
        <f t="shared" si="477"/>
        <v>19</v>
      </c>
      <c r="FO322" s="673">
        <f t="shared" si="480"/>
        <v>39.994114511404476</v>
      </c>
      <c r="FP322" s="673">
        <f t="shared" si="453"/>
        <v>31.576723317281619</v>
      </c>
      <c r="FQ322" s="775" t="b">
        <f t="shared" si="454"/>
        <v>1</v>
      </c>
      <c r="FR322" s="673"/>
      <c r="FS322" s="775">
        <f t="shared" si="455"/>
        <v>39.994114511404476</v>
      </c>
      <c r="FT322" s="775">
        <f t="shared" si="456"/>
        <v>9.8243754625285978E-2</v>
      </c>
      <c r="FU322" s="775">
        <f t="shared" si="457"/>
        <v>4.8251660084516045E-3</v>
      </c>
      <c r="FV322" s="775">
        <f t="shared" si="458"/>
        <v>8.8082525389860606</v>
      </c>
      <c r="FW322" s="775">
        <f t="shared" si="459"/>
        <v>4.486840986590777</v>
      </c>
      <c r="FX322" s="775">
        <f t="shared" si="460"/>
        <v>56.40152202424914</v>
      </c>
      <c r="FY322" s="775">
        <f t="shared" si="461"/>
        <v>119.80887682883346</v>
      </c>
      <c r="FZ322" s="775">
        <f t="shared" si="462"/>
        <v>29.589181775055735</v>
      </c>
      <c r="GA322" s="775">
        <f t="shared" si="463"/>
        <v>46.040894705582133</v>
      </c>
      <c r="GB322" s="775">
        <f t="shared" si="464"/>
        <v>137.93423149390151</v>
      </c>
      <c r="GC322" s="775">
        <f t="shared" si="465"/>
        <v>19.928654742455659</v>
      </c>
      <c r="GD322" s="775">
        <f t="shared" si="466"/>
        <v>20.496144933572889</v>
      </c>
      <c r="GE322" s="775">
        <f t="shared" si="467"/>
        <v>9.3164295152604026</v>
      </c>
      <c r="GF322" s="775">
        <f t="shared" si="468"/>
        <v>45.03448247570244</v>
      </c>
      <c r="GG322" s="775">
        <f t="shared" si="469"/>
        <v>39.994114511404476</v>
      </c>
    </row>
    <row r="323" spans="70:189">
      <c r="BR323" s="775"/>
      <c r="BS323" s="775"/>
      <c r="BT323" s="775"/>
      <c r="BU323" s="775"/>
      <c r="BV323" s="775"/>
      <c r="BW323" s="775"/>
      <c r="BX323" s="775"/>
      <c r="BY323" s="775" t="b">
        <f t="shared" si="470"/>
        <v>0</v>
      </c>
      <c r="BZ323" s="775">
        <f t="shared" si="397"/>
        <v>26.466455961562211</v>
      </c>
      <c r="CA323" s="775">
        <v>63</v>
      </c>
      <c r="CB323" s="775">
        <f t="shared" si="478"/>
        <v>31.5</v>
      </c>
      <c r="CC323" s="673">
        <f t="shared" si="398"/>
        <v>5.0335440384377907</v>
      </c>
      <c r="CD323" s="91">
        <f t="shared" si="396"/>
        <v>2</v>
      </c>
      <c r="CE323" s="775" t="b">
        <f t="shared" si="399"/>
        <v>0</v>
      </c>
      <c r="CF323" s="673"/>
      <c r="CG323" s="775">
        <f t="shared" si="400"/>
        <v>5.0335440384377907</v>
      </c>
      <c r="CH323" s="775">
        <f t="shared" si="401"/>
        <v>4.0886784258043242E-2</v>
      </c>
      <c r="CI323" s="775">
        <f t="shared" si="402"/>
        <v>2.7346696675994626E-3</v>
      </c>
      <c r="CJ323" s="775">
        <f t="shared" si="403"/>
        <v>5.2186067581640501</v>
      </c>
      <c r="CK323" s="775">
        <f t="shared" si="404"/>
        <v>2.5925280636235133</v>
      </c>
      <c r="CL323" s="775">
        <f t="shared" si="405"/>
        <v>4.44768741207261</v>
      </c>
      <c r="CM323" s="775">
        <f t="shared" si="406"/>
        <v>8.7458852977288295</v>
      </c>
      <c r="CN323" s="775">
        <f t="shared" si="407"/>
        <v>2.4417495476905384</v>
      </c>
      <c r="CO323" s="775">
        <f t="shared" si="408"/>
        <v>3.4754007643778153</v>
      </c>
      <c r="CP323" s="775">
        <f t="shared" si="409"/>
        <v>51.108480322554051</v>
      </c>
      <c r="CQ323" s="775">
        <f t="shared" si="410"/>
        <v>8.2850182447051477</v>
      </c>
      <c r="CR323" s="775">
        <f t="shared" si="471"/>
        <v>27.764472569805577</v>
      </c>
      <c r="CS323" s="775">
        <f t="shared" si="411"/>
        <v>12.620214804457079</v>
      </c>
      <c r="CT323" s="775">
        <f t="shared" si="412"/>
        <v>5.0335440384377907</v>
      </c>
      <c r="CU323" s="775">
        <f t="shared" si="413"/>
        <v>3.7223038169725275</v>
      </c>
      <c r="CV323" s="775"/>
      <c r="CW323" s="775"/>
      <c r="CX323" s="775"/>
      <c r="CY323" s="775"/>
      <c r="CZ323" s="775"/>
      <c r="DA323" s="775"/>
      <c r="DB323" s="775"/>
      <c r="DC323" s="775"/>
      <c r="DD323" s="775" t="b">
        <f t="shared" si="472"/>
        <v>0</v>
      </c>
      <c r="DE323" s="775">
        <f t="shared" si="414"/>
        <v>21.528238088475732</v>
      </c>
      <c r="DF323" s="775">
        <v>63</v>
      </c>
      <c r="DG323" s="775">
        <f t="shared" si="473"/>
        <v>18.5</v>
      </c>
      <c r="DH323" s="673">
        <f t="shared" si="415"/>
        <v>40.028238088475732</v>
      </c>
      <c r="DI323" s="673">
        <f t="shared" si="416"/>
        <v>26</v>
      </c>
      <c r="DJ323" s="775" t="b">
        <f t="shared" si="417"/>
        <v>1</v>
      </c>
      <c r="DK323" s="673"/>
      <c r="DL323" s="775">
        <f t="shared" si="418"/>
        <v>40.028238088475732</v>
      </c>
      <c r="DM323" s="775">
        <f t="shared" si="419"/>
        <v>0.10113336255137387</v>
      </c>
      <c r="DN323" s="775">
        <f t="shared" si="420"/>
        <v>4.9670868663818759E-3</v>
      </c>
      <c r="DO323" s="775">
        <f t="shared" si="421"/>
        <v>8.7798225438473647</v>
      </c>
      <c r="DP323" s="775">
        <f t="shared" si="422"/>
        <v>4.4795442807137427</v>
      </c>
      <c r="DQ323" s="775">
        <f t="shared" si="423"/>
        <v>46.105181515180185</v>
      </c>
      <c r="DR323" s="775">
        <f t="shared" si="424"/>
        <v>97.937250894547446</v>
      </c>
      <c r="DS323" s="775">
        <f t="shared" si="425"/>
        <v>29.457343226476588</v>
      </c>
      <c r="DT323" s="775">
        <f t="shared" si="426"/>
        <v>45.853635172623086</v>
      </c>
      <c r="DU323" s="775">
        <f t="shared" si="427"/>
        <v>141.99124102212892</v>
      </c>
      <c r="DV323" s="775">
        <f t="shared" si="428"/>
        <v>20.514809037145529</v>
      </c>
      <c r="DW323" s="775">
        <f t="shared" si="429"/>
        <v>11.224782518462584</v>
      </c>
      <c r="DX323" s="775">
        <f t="shared" si="430"/>
        <v>5.1021738720284473</v>
      </c>
      <c r="DY323" s="775">
        <f t="shared" si="431"/>
        <v>40.028238088475732</v>
      </c>
      <c r="DZ323" s="775">
        <f t="shared" si="432"/>
        <v>39.894495080847925</v>
      </c>
      <c r="EA323" s="775"/>
      <c r="EB323" s="775"/>
      <c r="EC323" s="775"/>
      <c r="ED323" s="775"/>
      <c r="EE323" s="775"/>
      <c r="EF323" s="775" t="b">
        <f t="shared" si="474"/>
        <v>0</v>
      </c>
      <c r="EG323" s="775">
        <f t="shared" si="433"/>
        <v>26.466455961562211</v>
      </c>
      <c r="EH323" s="775">
        <v>63</v>
      </c>
      <c r="EI323" s="775">
        <f t="shared" si="479"/>
        <v>31.5</v>
      </c>
      <c r="EJ323" s="673">
        <f t="shared" si="434"/>
        <v>5.0335440384377907</v>
      </c>
      <c r="EK323" s="673">
        <f t="shared" si="435"/>
        <v>2.2510196371999172</v>
      </c>
      <c r="EL323" s="775" t="b">
        <f t="shared" si="436"/>
        <v>0</v>
      </c>
      <c r="EM323" s="673"/>
      <c r="EN323" s="775">
        <f t="shared" si="437"/>
        <v>5.0335440384377907</v>
      </c>
      <c r="EO323" s="775">
        <f t="shared" si="438"/>
        <v>4.0886784258043242E-2</v>
      </c>
      <c r="EP323" s="775">
        <f t="shared" si="439"/>
        <v>2.7346696675994626E-3</v>
      </c>
      <c r="EQ323" s="775">
        <f t="shared" si="440"/>
        <v>5.2186067581640501</v>
      </c>
      <c r="ER323" s="775">
        <f t="shared" si="441"/>
        <v>2.5925280636235133</v>
      </c>
      <c r="ES323" s="775">
        <f t="shared" si="442"/>
        <v>4.44768741207261</v>
      </c>
      <c r="ET323" s="775">
        <f t="shared" si="443"/>
        <v>8.7458852977288295</v>
      </c>
      <c r="EU323" s="775">
        <f t="shared" si="444"/>
        <v>2.4417495476905384</v>
      </c>
      <c r="EV323" s="775">
        <f t="shared" si="445"/>
        <v>3.4754007643778153</v>
      </c>
      <c r="EW323" s="775">
        <f t="shared" si="446"/>
        <v>51.108480322554051</v>
      </c>
      <c r="EX323" s="775">
        <f t="shared" si="447"/>
        <v>8.2850182447051477</v>
      </c>
      <c r="EY323" s="775">
        <f t="shared" si="475"/>
        <v>27.764472569805577</v>
      </c>
      <c r="EZ323" s="775">
        <f t="shared" si="448"/>
        <v>12.620214804457079</v>
      </c>
      <c r="FA323" s="775">
        <f t="shared" si="449"/>
        <v>5.0335440384377907</v>
      </c>
      <c r="FB323" s="775">
        <f t="shared" si="450"/>
        <v>3.7223038169725275</v>
      </c>
      <c r="FC323" s="775"/>
      <c r="FD323" s="775"/>
      <c r="FE323" s="775"/>
      <c r="FF323" s="775"/>
      <c r="FG323" s="775"/>
      <c r="FH323" s="775"/>
      <c r="FI323" s="775"/>
      <c r="FJ323" s="775"/>
      <c r="FK323" s="775" t="b">
        <f t="shared" si="476"/>
        <v>0</v>
      </c>
      <c r="FL323" s="775">
        <f t="shared" si="451"/>
        <v>21.394495080847925</v>
      </c>
      <c r="FM323" s="775">
        <v>63</v>
      </c>
      <c r="FN323" s="775">
        <f t="shared" si="477"/>
        <v>18.5</v>
      </c>
      <c r="FO323" s="673">
        <f t="shared" si="480"/>
        <v>39.894495080847925</v>
      </c>
      <c r="FP323" s="673">
        <f t="shared" si="453"/>
        <v>31.576723317281619</v>
      </c>
      <c r="FQ323" s="775" t="b">
        <f t="shared" si="454"/>
        <v>1</v>
      </c>
      <c r="FR323" s="673"/>
      <c r="FS323" s="775">
        <f t="shared" si="455"/>
        <v>39.894495080847925</v>
      </c>
      <c r="FT323" s="775">
        <f t="shared" si="456"/>
        <v>0.10113336255137387</v>
      </c>
      <c r="FU323" s="775">
        <f t="shared" si="457"/>
        <v>4.9670868663818759E-3</v>
      </c>
      <c r="FV323" s="775">
        <f t="shared" si="458"/>
        <v>8.7798225438473647</v>
      </c>
      <c r="FW323" s="775">
        <f t="shared" si="459"/>
        <v>4.4795442807137427</v>
      </c>
      <c r="FX323" s="775">
        <f t="shared" si="460"/>
        <v>55.994252315303527</v>
      </c>
      <c r="FY323" s="775">
        <f t="shared" si="461"/>
        <v>118.94374899816603</v>
      </c>
      <c r="FZ323" s="775">
        <f t="shared" si="462"/>
        <v>29.457343226476588</v>
      </c>
      <c r="GA323" s="775">
        <f t="shared" si="463"/>
        <v>45.853635172623086</v>
      </c>
      <c r="GB323" s="775">
        <f t="shared" si="464"/>
        <v>141.99124102212892</v>
      </c>
      <c r="GC323" s="775">
        <f t="shared" si="465"/>
        <v>20.514809037145529</v>
      </c>
      <c r="GD323" s="775">
        <f t="shared" si="466"/>
        <v>19.910523914354698</v>
      </c>
      <c r="GE323" s="775">
        <f t="shared" si="467"/>
        <v>9.0502381428884977</v>
      </c>
      <c r="GF323" s="775">
        <f t="shared" si="468"/>
        <v>44.852390358822241</v>
      </c>
      <c r="GG323" s="775">
        <f t="shared" si="469"/>
        <v>39.894495080847925</v>
      </c>
    </row>
    <row r="324" spans="70:189">
      <c r="BR324" s="775"/>
      <c r="BS324" s="775"/>
      <c r="BT324" s="775"/>
      <c r="BU324" s="775"/>
      <c r="BV324" s="775"/>
      <c r="BW324" s="775"/>
      <c r="BX324" s="775"/>
      <c r="BY324" s="775" t="b">
        <f t="shared" si="470"/>
        <v>0</v>
      </c>
      <c r="BZ324" s="775">
        <f t="shared" si="397"/>
        <v>26.943589361912142</v>
      </c>
      <c r="CA324" s="775">
        <v>64</v>
      </c>
      <c r="CB324" s="775">
        <f t="shared" si="478"/>
        <v>32</v>
      </c>
      <c r="CC324" s="673">
        <f t="shared" si="398"/>
        <v>5.0564106380878586</v>
      </c>
      <c r="CD324" s="91">
        <f t="shared" si="396"/>
        <v>2</v>
      </c>
      <c r="CE324" s="775" t="b">
        <f t="shared" si="399"/>
        <v>0</v>
      </c>
      <c r="CF324" s="673"/>
      <c r="CG324" s="775">
        <f t="shared" si="400"/>
        <v>5.0564106380878586</v>
      </c>
      <c r="CH324" s="775">
        <f t="shared" si="401"/>
        <v>4.0260607025432132E-2</v>
      </c>
      <c r="CI324" s="775">
        <f t="shared" si="402"/>
        <v>2.6927884603674189E-3</v>
      </c>
      <c r="CJ324" s="775">
        <f t="shared" si="403"/>
        <v>5.2240184933294334</v>
      </c>
      <c r="CK324" s="775">
        <f t="shared" si="404"/>
        <v>2.5938391987247726</v>
      </c>
      <c r="CL324" s="775">
        <f t="shared" si="405"/>
        <v>4.4648812841254282</v>
      </c>
      <c r="CM324" s="775">
        <f t="shared" si="406"/>
        <v>8.7796951451541663</v>
      </c>
      <c r="CN324" s="775">
        <f t="shared" si="407"/>
        <v>2.4467460352239909</v>
      </c>
      <c r="CO324" s="775">
        <f t="shared" si="408"/>
        <v>3.4823217007097576</v>
      </c>
      <c r="CP324" s="775">
        <f t="shared" si="409"/>
        <v>50.325758781790164</v>
      </c>
      <c r="CQ324" s="775">
        <f t="shared" si="410"/>
        <v>8.1581339741335039</v>
      </c>
      <c r="CR324" s="775">
        <f t="shared" si="471"/>
        <v>28.196296178120416</v>
      </c>
      <c r="CS324" s="775">
        <f t="shared" si="411"/>
        <v>12.816498262782007</v>
      </c>
      <c r="CT324" s="775">
        <f t="shared" si="412"/>
        <v>5.0564106380878586</v>
      </c>
      <c r="CU324" s="775">
        <f t="shared" si="413"/>
        <v>3.7317654384878662</v>
      </c>
      <c r="CV324" s="775"/>
      <c r="CW324" s="775"/>
      <c r="CX324" s="775"/>
      <c r="CY324" s="775"/>
      <c r="CZ324" s="775"/>
      <c r="DA324" s="775"/>
      <c r="DB324" s="775"/>
      <c r="DC324" s="775"/>
      <c r="DD324" s="775" t="b">
        <f t="shared" si="472"/>
        <v>0</v>
      </c>
      <c r="DE324" s="775">
        <f t="shared" si="414"/>
        <v>21.846251529925503</v>
      </c>
      <c r="DF324" s="775">
        <v>64</v>
      </c>
      <c r="DG324" s="775">
        <f t="shared" si="473"/>
        <v>18</v>
      </c>
      <c r="DH324" s="673">
        <f t="shared" si="415"/>
        <v>39.846251529925503</v>
      </c>
      <c r="DI324" s="673">
        <f t="shared" si="416"/>
        <v>26</v>
      </c>
      <c r="DJ324" s="775" t="b">
        <f t="shared" si="417"/>
        <v>1</v>
      </c>
      <c r="DK324" s="673"/>
      <c r="DL324" s="775">
        <f t="shared" si="418"/>
        <v>39.846251529925503</v>
      </c>
      <c r="DM324" s="775">
        <f t="shared" si="419"/>
        <v>0.10419068730939807</v>
      </c>
      <c r="DN324" s="775">
        <f t="shared" si="420"/>
        <v>5.1172450067693458E-3</v>
      </c>
      <c r="DO324" s="775">
        <f t="shared" si="421"/>
        <v>8.7500007858465718</v>
      </c>
      <c r="DP324" s="775">
        <f t="shared" si="422"/>
        <v>4.471862690238444</v>
      </c>
      <c r="DQ324" s="775">
        <f t="shared" si="423"/>
        <v>45.763172315414685</v>
      </c>
      <c r="DR324" s="775">
        <f t="shared" si="424"/>
        <v>97.210750321186751</v>
      </c>
      <c r="DS324" s="775">
        <f t="shared" si="425"/>
        <v>29.322360646523986</v>
      </c>
      <c r="DT324" s="775">
        <f t="shared" si="426"/>
        <v>45.661901076837509</v>
      </c>
      <c r="DU324" s="775">
        <f t="shared" si="427"/>
        <v>146.28372498239489</v>
      </c>
      <c r="DV324" s="775">
        <f t="shared" si="428"/>
        <v>21.134984536042275</v>
      </c>
      <c r="DW324" s="775">
        <f t="shared" si="429"/>
        <v>10.895407538957699</v>
      </c>
      <c r="DX324" s="775">
        <f t="shared" si="430"/>
        <v>4.9524579722534989</v>
      </c>
      <c r="DY324" s="775">
        <f t="shared" si="431"/>
        <v>39.846251529925503</v>
      </c>
      <c r="DZ324" s="775">
        <f t="shared" si="432"/>
        <v>39.792151943839755</v>
      </c>
      <c r="EA324" s="775"/>
      <c r="EB324" s="775"/>
      <c r="EC324" s="775"/>
      <c r="ED324" s="775"/>
      <c r="EE324" s="775"/>
      <c r="EF324" s="775" t="b">
        <f t="shared" si="474"/>
        <v>0</v>
      </c>
      <c r="EG324" s="775">
        <f t="shared" si="433"/>
        <v>26.943589361912142</v>
      </c>
      <c r="EH324" s="775">
        <v>64</v>
      </c>
      <c r="EI324" s="775">
        <f t="shared" si="479"/>
        <v>32</v>
      </c>
      <c r="EJ324" s="673">
        <f t="shared" si="434"/>
        <v>5.0564106380878586</v>
      </c>
      <c r="EK324" s="673">
        <f t="shared" si="435"/>
        <v>2.2510196371999172</v>
      </c>
      <c r="EL324" s="775" t="b">
        <f t="shared" si="436"/>
        <v>0</v>
      </c>
      <c r="EM324" s="673"/>
      <c r="EN324" s="775">
        <f t="shared" si="437"/>
        <v>5.0564106380878586</v>
      </c>
      <c r="EO324" s="775">
        <f t="shared" si="438"/>
        <v>4.0260607025432132E-2</v>
      </c>
      <c r="EP324" s="775">
        <f t="shared" si="439"/>
        <v>2.6927884603674189E-3</v>
      </c>
      <c r="EQ324" s="775">
        <f t="shared" si="440"/>
        <v>5.2240184933294334</v>
      </c>
      <c r="ER324" s="775">
        <f t="shared" si="441"/>
        <v>2.5938391987247726</v>
      </c>
      <c r="ES324" s="775">
        <f t="shared" si="442"/>
        <v>4.4648812841254282</v>
      </c>
      <c r="ET324" s="775">
        <f t="shared" si="443"/>
        <v>8.7796951451541663</v>
      </c>
      <c r="EU324" s="775">
        <f t="shared" si="444"/>
        <v>2.4467460352239909</v>
      </c>
      <c r="EV324" s="775">
        <f t="shared" si="445"/>
        <v>3.4823217007097576</v>
      </c>
      <c r="EW324" s="775">
        <f t="shared" si="446"/>
        <v>50.325758781790164</v>
      </c>
      <c r="EX324" s="775">
        <f t="shared" si="447"/>
        <v>8.1581339741335039</v>
      </c>
      <c r="EY324" s="775">
        <f t="shared" si="475"/>
        <v>28.196296178120416</v>
      </c>
      <c r="EZ324" s="775">
        <f t="shared" si="448"/>
        <v>12.816498262782007</v>
      </c>
      <c r="FA324" s="775">
        <f t="shared" si="449"/>
        <v>5.0564106380878586</v>
      </c>
      <c r="FB324" s="775">
        <f t="shared" si="450"/>
        <v>3.7317654384878662</v>
      </c>
      <c r="FC324" s="775"/>
      <c r="FD324" s="775"/>
      <c r="FE324" s="775"/>
      <c r="FF324" s="775"/>
      <c r="FG324" s="775"/>
      <c r="FH324" s="775"/>
      <c r="FI324" s="775"/>
      <c r="FJ324" s="775"/>
      <c r="FK324" s="775" t="b">
        <f t="shared" si="476"/>
        <v>0</v>
      </c>
      <c r="FL324" s="775">
        <f t="shared" si="451"/>
        <v>21.792151943839755</v>
      </c>
      <c r="FM324" s="775">
        <v>64</v>
      </c>
      <c r="FN324" s="775">
        <f t="shared" si="477"/>
        <v>18</v>
      </c>
      <c r="FO324" s="673">
        <f t="shared" si="480"/>
        <v>39.792151943839755</v>
      </c>
      <c r="FP324" s="673">
        <f t="shared" si="453"/>
        <v>31.576723317281619</v>
      </c>
      <c r="FQ324" s="775" t="b">
        <f t="shared" si="454"/>
        <v>1</v>
      </c>
      <c r="FR324" s="673"/>
      <c r="FS324" s="775">
        <f t="shared" si="455"/>
        <v>39.792151943839755</v>
      </c>
      <c r="FT324" s="775">
        <f t="shared" si="456"/>
        <v>0.10419068730939807</v>
      </c>
      <c r="FU324" s="775">
        <f t="shared" si="457"/>
        <v>5.1172450067693458E-3</v>
      </c>
      <c r="FV324" s="775">
        <f t="shared" si="458"/>
        <v>8.7500007858465718</v>
      </c>
      <c r="FW324" s="775">
        <f t="shared" si="459"/>
        <v>4.471862690238444</v>
      </c>
      <c r="FX324" s="775">
        <f t="shared" si="460"/>
        <v>55.57888578172814</v>
      </c>
      <c r="FY324" s="775">
        <f t="shared" si="461"/>
        <v>118.06142178297921</v>
      </c>
      <c r="FZ324" s="775">
        <f t="shared" si="462"/>
        <v>29.322360646523986</v>
      </c>
      <c r="GA324" s="775">
        <f t="shared" si="463"/>
        <v>45.661901076837509</v>
      </c>
      <c r="GB324" s="775">
        <f t="shared" si="464"/>
        <v>146.28372498239489</v>
      </c>
      <c r="GC324" s="775">
        <f t="shared" si="465"/>
        <v>21.134984536042275</v>
      </c>
      <c r="GD324" s="775">
        <f t="shared" si="466"/>
        <v>19.326278438289979</v>
      </c>
      <c r="GE324" s="775">
        <f t="shared" si="467"/>
        <v>8.7846720174045352</v>
      </c>
      <c r="GF324" s="775">
        <f t="shared" si="468"/>
        <v>44.665431200047905</v>
      </c>
      <c r="GG324" s="775">
        <f t="shared" si="469"/>
        <v>39.792151943839755</v>
      </c>
    </row>
    <row r="325" spans="70:189">
      <c r="BR325" s="775"/>
      <c r="BS325" s="775"/>
      <c r="BT325" s="775"/>
      <c r="BU325" s="775"/>
      <c r="BV325" s="775"/>
      <c r="BW325" s="775"/>
      <c r="BX325" s="775"/>
      <c r="BY325" s="775" t="b">
        <f t="shared" si="470"/>
        <v>0</v>
      </c>
      <c r="BZ325" s="775">
        <f t="shared" ref="BZ325:BZ360" si="481">ABS((CC325-CB325))</f>
        <v>27.421001763108542</v>
      </c>
      <c r="CA325" s="775">
        <v>65</v>
      </c>
      <c r="CB325" s="775">
        <f t="shared" si="478"/>
        <v>32.5</v>
      </c>
      <c r="CC325" s="673">
        <f t="shared" ref="CC325:CC360" si="482">CG325</f>
        <v>5.0789982368914579</v>
      </c>
      <c r="CD325" s="91">
        <f t="shared" ref="CD325:CD360" si="483">$X$7</f>
        <v>2</v>
      </c>
      <c r="CE325" s="775" t="b">
        <f t="shared" ref="CE325:CE360" si="484">IF(CB325&lt;CD325,TRUE,FALSE)</f>
        <v>0</v>
      </c>
      <c r="CF325" s="673"/>
      <c r="CG325" s="775">
        <f t="shared" ref="CG325:CG360" si="485">((100*(-0.0126+0.01475*($X$7*((1/CH325)^0.25))))/(1+(-0.0126+0.01475*($X$7*((1/CH325)^0.25)))))</f>
        <v>5.0789982368914579</v>
      </c>
      <c r="CH325" s="775">
        <f t="shared" ref="CH325:CH360" si="486">CI325*(2.65*($W$7/0.03)^0.5-1.35)</f>
        <v>3.9653507072420435E-2</v>
      </c>
      <c r="CI325" s="775">
        <f t="shared" ref="CI325:CI360" si="487">((0.03/(2.2*(10^($AS$10+($AT$10*(LOG((0.03*($AB$7+$AC$7))/CB325))))))))</f>
        <v>2.6521832169659264E-3</v>
      </c>
      <c r="CJ325" s="775">
        <f t="shared" ref="CJ325:CJ360" si="488">($W$7/(2.2*((0.976*CI325+0.022)^0.625)))</f>
        <v>5.2292793068792989</v>
      </c>
      <c r="CK325" s="775">
        <f t="shared" ref="CK325:CK360" si="489">($W$7/(2.2*((0.956*CI325+0.037)^0.5)))</f>
        <v>2.5951122895949599</v>
      </c>
      <c r="CL325" s="775">
        <f t="shared" ref="CL325:CL360" si="490">$X$7*((1/CH325)^0.25)</f>
        <v>4.4818735026945271</v>
      </c>
      <c r="CM325" s="775">
        <f t="shared" ref="CM325:CM360" si="491">$X$7*((1/CI325)^0.25)</f>
        <v>8.8131084633104493</v>
      </c>
      <c r="CN325" s="775">
        <f t="shared" ref="CN325:CN360" si="492">IF($R$30&lt;=40,$AF$7/(CH325^0.25)/SQRT((($AV$10+($AE$7/(CH325^0.25))))),IF($R$30&gt;40,$AF$7/(CH325^0.25)/SQRT((($AW$10+($AE$7/(CH325^0.25))))),""))</f>
        <v>2.4516740445168947</v>
      </c>
      <c r="CO325" s="775">
        <f t="shared" ref="CO325:CO360" si="493">IF($R$30&lt;=40,$AF$7/(CI325^0.25)/SQRT((($AV$10+($AE$7/(CI325^0.25))))),IF($R$30&gt;40,$AF$7/(CI325^0.25)/SQRT((($AW$10+($AE$7/(CI325^0.25))))),""))</f>
        <v>3.4891480284977536</v>
      </c>
      <c r="CP325" s="775">
        <f t="shared" ref="CP325:CP360" si="494">CH325*($AB$7+$AC$7)</f>
        <v>49.566883840525541</v>
      </c>
      <c r="CQ325" s="775">
        <f t="shared" ref="CQ325:CQ360" si="495">CP325/$AQ$101</f>
        <v>8.0351153929871497</v>
      </c>
      <c r="CR325" s="775">
        <f t="shared" si="471"/>
        <v>28.627984857095964</v>
      </c>
      <c r="CS325" s="775">
        <f t="shared" ref="CS325:CS360" si="496">CR325/2.2</f>
        <v>13.012720389589074</v>
      </c>
      <c r="CT325" s="775">
        <f t="shared" ref="CT325:CT360" si="497">((100*(-0.0126+0.01475*($X$7*((1/CH325)^0.25))))/(1+(-0.0126+0.01475*($X$7*((1/CH325)^0.25)))))</f>
        <v>5.0789982368914579</v>
      </c>
      <c r="CU325" s="775">
        <f t="shared" ref="CU325:CU360" si="498">((100*(-0.0126+0.01475*CO325)/(1+(-0.0126+0.01475*CO325))))</f>
        <v>3.7410958990004208</v>
      </c>
      <c r="CV325" s="775"/>
      <c r="CW325" s="775"/>
      <c r="CX325" s="775"/>
      <c r="CY325" s="775"/>
      <c r="CZ325" s="775"/>
      <c r="DA325" s="775"/>
      <c r="DB325" s="775"/>
      <c r="DC325" s="775"/>
      <c r="DD325" s="775" t="b">
        <f t="shared" si="472"/>
        <v>0</v>
      </c>
      <c r="DE325" s="775">
        <f t="shared" ref="DE325:DE360" si="499">ABS((DH325-DG325))</f>
        <v>22.15940326806512</v>
      </c>
      <c r="DF325" s="775">
        <v>65</v>
      </c>
      <c r="DG325" s="775">
        <f t="shared" si="473"/>
        <v>17.5</v>
      </c>
      <c r="DH325" s="673">
        <f t="shared" ref="DH325:DH360" si="500">DL325</f>
        <v>39.65940326806512</v>
      </c>
      <c r="DI325" s="673">
        <f t="shared" ref="DI325:DI360" si="501">$DG$253</f>
        <v>26</v>
      </c>
      <c r="DJ325" s="775" t="b">
        <f t="shared" ref="DJ325:DJ360" si="502">IF(DG325&lt;DI325,TRUE,FALSE)</f>
        <v>1</v>
      </c>
      <c r="DK325" s="673"/>
      <c r="DL325" s="775">
        <f t="shared" ref="DL325:DL360" si="503">((100*(-0.0126+0.01475*($DG$253*((1/DM325)^0.25))))/(1+(-0.0126+0.01475*($DG$253*((1/DM325)^0.25)))))</f>
        <v>39.65940326806512</v>
      </c>
      <c r="DM325" s="775">
        <f t="shared" ref="DM325:DM360" si="504">DN325*(2.65*($DN$253/0.03)^0.5-1.35)</f>
        <v>0.10743053958778634</v>
      </c>
      <c r="DN325" s="775">
        <f t="shared" ref="DN325:DN360" si="505">((0.03/(2.2*(10^($AS$12+($AT$12*(LOG((0.03*($AB$9+$AC$9))/DG325))))))))</f>
        <v>5.276367845118808E-3</v>
      </c>
      <c r="DO325" s="775">
        <f t="shared" ref="DO325:DO360" si="506">($DN$253/(2.2*((0.976*DN325+0.022)^0.625)))</f>
        <v>8.7186844006550075</v>
      </c>
      <c r="DP325" s="775">
        <f t="shared" ref="DP325:DP360" si="507">($DN$253/(2.2*((0.956*DN325+0.037)^0.5)))</f>
        <v>4.4637654678240466</v>
      </c>
      <c r="DQ325" s="775">
        <f t="shared" ref="DQ325:DQ360" si="508">$DG$253*((1/DM325)^0.25)</f>
        <v>45.414172862930023</v>
      </c>
      <c r="DR325" s="775">
        <f t="shared" ref="DR325:DR360" si="509">$DG$253*((1/DN325)^0.25)</f>
        <v>96.469400958343542</v>
      </c>
      <c r="DS325" s="775">
        <f t="shared" ref="DS325:DS360" si="510">IF($R$70&lt;=40,$AF$9/(DM325^0.25)/SQRT((($AV$12+($AE$9/(DM325^0.25))))),IF($R$70&gt;40,$AF$9/(DM325^0.25)/SQRT((($AW$12+($AE$9/(DM325^0.25))))),""))</f>
        <v>29.184068779351506</v>
      </c>
      <c r="DT325" s="775">
        <f t="shared" ref="DT325:DT360" si="511">IF($R$70&lt;=40,$AF$9/(DN325^0.25)/SQRT((($AV$12+($AE$9/(DN325^0.25))))),IF($R$70&gt;40,$AF$9/(DN325^0.25)/SQRT((($AW$12+($AE$9/(DN325^0.25))))),""))</f>
        <v>45.465456542018437</v>
      </c>
      <c r="DU325" s="775">
        <f t="shared" ref="DU325:DU360" si="512">DM325*($AB$9+$AC$9)</f>
        <v>150.83247758125202</v>
      </c>
      <c r="DV325" s="775">
        <f t="shared" ref="DV325:DV360" si="513">DU325/$AS$101</f>
        <v>21.792185573592402</v>
      </c>
      <c r="DW325" s="775">
        <f t="shared" ref="DW325:DW360" si="514">$DN$14/DM325</f>
        <v>10.566827685644983</v>
      </c>
      <c r="DX325" s="775">
        <f t="shared" ref="DX325:DX360" si="515">DW325/2.2</f>
        <v>4.8031034934749917</v>
      </c>
      <c r="DY325" s="775">
        <f t="shared" ref="DY325:DY360" si="516">((100*(-0.0126+0.01475*($DG$253*((1/DM325)^0.25))))/(1+(-0.0126+0.01475*($DG$253*((1/DM325)^0.25)))))</f>
        <v>39.65940326806512</v>
      </c>
      <c r="DZ325" s="775">
        <f t="shared" ref="DZ325:DZ360" si="517">((100*(-0.0126+0.01475*DT325)/(1+(-0.0126+0.01475*DT325))))</f>
        <v>39.686932380713927</v>
      </c>
      <c r="EA325" s="775"/>
      <c r="EB325" s="775"/>
      <c r="EC325" s="775"/>
      <c r="ED325" s="775"/>
      <c r="EE325" s="775"/>
      <c r="EF325" s="775" t="b">
        <f t="shared" si="474"/>
        <v>0</v>
      </c>
      <c r="EG325" s="775">
        <f t="shared" ref="EG325:EG360" si="518">ABS((EJ325-EI325))</f>
        <v>27.421001763108542</v>
      </c>
      <c r="EH325" s="775">
        <v>65</v>
      </c>
      <c r="EI325" s="775">
        <f t="shared" si="479"/>
        <v>32.5</v>
      </c>
      <c r="EJ325" s="673">
        <f t="shared" ref="EJ325:EJ360" si="519">EN325</f>
        <v>5.0789982368914579</v>
      </c>
      <c r="EK325" s="673">
        <f t="shared" ref="EK325:EK360" si="520">$Z$7</f>
        <v>2.2510196371999172</v>
      </c>
      <c r="EL325" s="775" t="b">
        <f t="shared" ref="EL325:EL360" si="521">IF(EI325&lt;EK325,TRUE,FALSE)</f>
        <v>0</v>
      </c>
      <c r="EM325" s="673"/>
      <c r="EN325" s="775">
        <f t="shared" ref="EN325:EN360" si="522">((100*(-0.0126+0.01475*($X$7*((1/EO325)^0.25))))/(1+(-0.0126+0.01475*($X$7*((1/EO325)^0.25)))))</f>
        <v>5.0789982368914579</v>
      </c>
      <c r="EO325" s="775">
        <f t="shared" ref="EO325:EO360" si="523">EP325*(2.65*($W$7/0.03)^0.5-1.35)</f>
        <v>3.9653507072420435E-2</v>
      </c>
      <c r="EP325" s="775">
        <f t="shared" ref="EP325:EP360" si="524">((0.03/(2.2*(10^($AS$10+($AT$10*(LOG((0.03*($AB$7+$AC$7))/EI325))))))))</f>
        <v>2.6521832169659264E-3</v>
      </c>
      <c r="EQ325" s="775">
        <f t="shared" ref="EQ325:EQ360" si="525">($W$7/(2.2*((0.976*EP325+0.022)^0.625)))</f>
        <v>5.2292793068792989</v>
      </c>
      <c r="ER325" s="775">
        <f t="shared" ref="ER325:ER360" si="526">($W$7/(2.2*((0.956*EP325+0.037)^0.5)))</f>
        <v>2.5951122895949599</v>
      </c>
      <c r="ES325" s="775">
        <f t="shared" ref="ES325:ES360" si="527">$X$7*((1/EO325)^0.25)</f>
        <v>4.4818735026945271</v>
      </c>
      <c r="ET325" s="775">
        <f t="shared" ref="ET325:ET360" si="528">$X$7*((1/EP325)^0.25)</f>
        <v>8.8131084633104493</v>
      </c>
      <c r="EU325" s="775">
        <f t="shared" ref="EU325:EU360" si="529">IF($R$30&lt;=40,$AF$7/(EO325^0.25)/SQRT((($AV$10+($AE$7/(EO325^0.25))))),IF($R$30&gt;40,$AF$7/(EO325^0.25)/SQRT((($AW$10+($AE$7/(EO325^0.25))))),""))</f>
        <v>2.4516740445168947</v>
      </c>
      <c r="EV325" s="775">
        <f t="shared" ref="EV325:EV360" si="530">IF($R$30&lt;=40,$AF$7/(EP325^0.25)/SQRT((($AV$10+($AE$7/(EP325^0.25))))),IF($R$30&gt;40,$AF$7/(EP325^0.25)/SQRT((($AW$10+($AE$7/(EP325^0.25))))),""))</f>
        <v>3.4891480284977536</v>
      </c>
      <c r="EW325" s="775">
        <f t="shared" ref="EW325:EW360" si="531">EO325*($AB$7+$AC$7)</f>
        <v>49.566883840525541</v>
      </c>
      <c r="EX325" s="775">
        <f t="shared" ref="EX325:EX360" si="532">EW325/$AQ$101</f>
        <v>8.0351153929871497</v>
      </c>
      <c r="EY325" s="775">
        <f t="shared" si="475"/>
        <v>28.627984857095964</v>
      </c>
      <c r="EZ325" s="775">
        <f t="shared" ref="EZ325:EZ360" si="533">EY325/2.2</f>
        <v>13.012720389589074</v>
      </c>
      <c r="FA325" s="775">
        <f t="shared" ref="FA325:FA360" si="534">((100*(-0.0126+0.01475*($X$7*((1/EO325)^0.25))))/(1+(-0.0126+0.01475*($X$7*((1/EO325)^0.25)))))</f>
        <v>5.0789982368914579</v>
      </c>
      <c r="FB325" s="775">
        <f t="shared" ref="FB325:FB360" si="535">((100*(-0.0126+0.01475*EV325)/(1+(-0.0126+0.01475*EV325))))</f>
        <v>3.7410958990004208</v>
      </c>
      <c r="FC325" s="775"/>
      <c r="FD325" s="775"/>
      <c r="FE325" s="775"/>
      <c r="FF325" s="775"/>
      <c r="FG325" s="775"/>
      <c r="FH325" s="775"/>
      <c r="FI325" s="775"/>
      <c r="FJ325" s="775"/>
      <c r="FK325" s="775" t="b">
        <f t="shared" si="476"/>
        <v>0</v>
      </c>
      <c r="FL325" s="775">
        <f t="shared" ref="FL325:FL360" si="536">ABS((FO325-FN325))</f>
        <v>22.186932380713927</v>
      </c>
      <c r="FM325" s="775">
        <v>65</v>
      </c>
      <c r="FN325" s="775">
        <f t="shared" si="477"/>
        <v>17.5</v>
      </c>
      <c r="FO325" s="673">
        <f t="shared" si="480"/>
        <v>39.686932380713927</v>
      </c>
      <c r="FP325" s="673">
        <f t="shared" ref="FP325:FP360" si="537">$DQ$253</f>
        <v>31.576723317281619</v>
      </c>
      <c r="FQ325" s="775" t="b">
        <f t="shared" ref="FQ325:FQ360" si="538">IF(FN325&lt;FP325,TRUE,FALSE)</f>
        <v>1</v>
      </c>
      <c r="FR325" s="673"/>
      <c r="FS325" s="775">
        <f t="shared" ref="FS325:FS360" si="539">GG325</f>
        <v>39.686932380713927</v>
      </c>
      <c r="FT325" s="775">
        <f t="shared" ref="FT325:FT360" si="540">FU325*(2.65*($DN$253/0.03)^0.5-1.35)</f>
        <v>0.10743053958778634</v>
      </c>
      <c r="FU325" s="775">
        <f t="shared" ref="FU325:FU360" si="541">((0.03/(2.2*(10^($AS$12+($AT$12*(LOG((0.03*($AB$9+$AC$9))/FN325))))))))</f>
        <v>5.276367845118808E-3</v>
      </c>
      <c r="FV325" s="775">
        <f t="shared" ref="FV325:FV360" si="542">($DN$253/(2.2*((0.976*FU325+0.022)^0.625)))</f>
        <v>8.7186844006550075</v>
      </c>
      <c r="FW325" s="775">
        <f t="shared" ref="FW325:FW360" si="543">($DN$253/(2.2*((0.956*FU325+0.037)^0.5)))</f>
        <v>4.4637654678240466</v>
      </c>
      <c r="FX325" s="775">
        <f t="shared" ref="FX325:FX360" si="544">$DQ$253*((1/FT325)^0.25)</f>
        <v>55.155029660613103</v>
      </c>
      <c r="FY325" s="775">
        <f t="shared" ref="FY325:FY360" si="545">$DQ$253*((1/FU325)^0.25)</f>
        <v>117.16106087098139</v>
      </c>
      <c r="FZ325" s="775">
        <f t="shared" ref="FZ325:FZ360" si="546">IF($R$70&lt;=40,$AF$9/(FT325^0.25)/SQRT((($AV$12+($AE$9/(FT325^0.25))))),IF($R$70&gt;40,$AF$9/(FT325^0.25)/SQRT((($AW$12+($AE$9/(FT325^0.25))))),""))</f>
        <v>29.184068779351506</v>
      </c>
      <c r="GA325" s="775">
        <f t="shared" ref="GA325:GA360" si="547">IF($R$70&lt;=40,$AF$9/(FU325^0.25)/SQRT((($AV$12+($AE$9/(FU325^0.25))))),IF($R$70&gt;40,$AF$9/(FU325^0.25)/SQRT((($AW$12+($AE$9/(FU325^0.25))))),""))</f>
        <v>45.465456542018437</v>
      </c>
      <c r="GB325" s="775">
        <f t="shared" ref="GB325:GB360" si="548">FT325*($AB$9+$AC$9)</f>
        <v>150.83247758125202</v>
      </c>
      <c r="GC325" s="775">
        <f t="shared" ref="GC325:GC360" si="549">GB325/$AS$101</f>
        <v>21.792185573592402</v>
      </c>
      <c r="GD325" s="775">
        <f t="shared" ref="GD325:GD360" si="550">$DN$253/FT325</f>
        <v>18.743443357396664</v>
      </c>
      <c r="GE325" s="775">
        <f t="shared" ref="GE325:GE360" si="551">GD325/2.2</f>
        <v>8.5197469806348476</v>
      </c>
      <c r="GF325" s="775">
        <f t="shared" ref="GF325:GF360" si="552">((100*(-0.0126+0.01475*($DQ$253*((1/FT325)^0.25))))/(1+(-0.0126+0.01475*($DQ$253*((1/FT325)^0.25)))))</f>
        <v>44.473339515811958</v>
      </c>
      <c r="GG325" s="775">
        <f t="shared" ref="GG325:GG360" si="553">((100*(-0.0126+0.01475*GA325)/(1+(-0.0126+0.01475*GA325))))</f>
        <v>39.686932380713927</v>
      </c>
    </row>
    <row r="326" spans="70:189">
      <c r="BR326" s="775"/>
      <c r="BS326" s="775"/>
      <c r="BT326" s="775"/>
      <c r="BU326" s="775"/>
      <c r="BV326" s="775"/>
      <c r="BW326" s="775"/>
      <c r="BX326" s="775"/>
      <c r="BY326" s="775" t="b">
        <f t="shared" ref="BY326:BY360" si="554">IF(BZ326&lt;0.2,TRUE,FALSE)</f>
        <v>0</v>
      </c>
      <c r="BZ326" s="775">
        <f t="shared" si="481"/>
        <v>27.898685583681388</v>
      </c>
      <c r="CA326" s="775">
        <v>66</v>
      </c>
      <c r="CB326" s="775">
        <f t="shared" si="478"/>
        <v>33</v>
      </c>
      <c r="CC326" s="673">
        <f t="shared" si="482"/>
        <v>5.1013144163186128</v>
      </c>
      <c r="CD326" s="91">
        <f t="shared" si="483"/>
        <v>2</v>
      </c>
      <c r="CE326" s="775" t="b">
        <f t="shared" si="484"/>
        <v>0</v>
      </c>
      <c r="CF326" s="673"/>
      <c r="CG326" s="775">
        <f t="shared" si="485"/>
        <v>5.1013144163186128</v>
      </c>
      <c r="CH326" s="775">
        <f t="shared" si="486"/>
        <v>3.9064622899056357E-2</v>
      </c>
      <c r="CI326" s="775">
        <f t="shared" si="487"/>
        <v>2.6127963168745766E-3</v>
      </c>
      <c r="CJ326" s="775">
        <f t="shared" si="488"/>
        <v>5.2343954533170542</v>
      </c>
      <c r="CK326" s="775">
        <f t="shared" si="489"/>
        <v>2.5963489746491306</v>
      </c>
      <c r="CL326" s="775">
        <f t="shared" si="490"/>
        <v>4.4986694813527377</v>
      </c>
      <c r="CM326" s="775">
        <f t="shared" si="491"/>
        <v>8.8461358973898054</v>
      </c>
      <c r="CN326" s="775">
        <f t="shared" si="492"/>
        <v>2.4565355473268777</v>
      </c>
      <c r="CO326" s="775">
        <f t="shared" si="493"/>
        <v>3.495882468215985</v>
      </c>
      <c r="CP326" s="775">
        <f t="shared" si="494"/>
        <v>48.83077862382045</v>
      </c>
      <c r="CQ326" s="775">
        <f t="shared" si="495"/>
        <v>7.9157879328096064</v>
      </c>
      <c r="CR326" s="775">
        <f t="shared" ref="CR326:CR360" si="555">$W$7/CH326</f>
        <v>29.059540723927526</v>
      </c>
      <c r="CS326" s="775">
        <f t="shared" si="496"/>
        <v>13.208882147239784</v>
      </c>
      <c r="CT326" s="775">
        <f t="shared" si="497"/>
        <v>5.1013144163186128</v>
      </c>
      <c r="CU326" s="775">
        <f t="shared" si="498"/>
        <v>3.7502989916067619</v>
      </c>
      <c r="CV326" s="775"/>
      <c r="CW326" s="775"/>
      <c r="CX326" s="775"/>
      <c r="CY326" s="775"/>
      <c r="CZ326" s="775"/>
      <c r="DA326" s="775"/>
      <c r="DB326" s="775"/>
      <c r="DC326" s="775"/>
      <c r="DD326" s="775" t="b">
        <f t="shared" ref="DD326:DD360" si="556">IF(DE326&lt;0.2,TRUE,FALSE)</f>
        <v>0</v>
      </c>
      <c r="DE326" s="775">
        <f t="shared" si="499"/>
        <v>22.467424312081235</v>
      </c>
      <c r="DF326" s="775">
        <v>66</v>
      </c>
      <c r="DG326" s="775">
        <f t="shared" ref="DG326:DG360" si="557">DG325-0.5</f>
        <v>17</v>
      </c>
      <c r="DH326" s="673">
        <f t="shared" si="500"/>
        <v>39.467424312081235</v>
      </c>
      <c r="DI326" s="673">
        <f t="shared" si="501"/>
        <v>26</v>
      </c>
      <c r="DJ326" s="775" t="b">
        <f t="shared" si="502"/>
        <v>1</v>
      </c>
      <c r="DK326" s="673"/>
      <c r="DL326" s="775">
        <f t="shared" si="503"/>
        <v>39.467424312081235</v>
      </c>
      <c r="DM326" s="775">
        <f t="shared" si="504"/>
        <v>0.11086951263369842</v>
      </c>
      <c r="DN326" s="775">
        <f t="shared" si="505"/>
        <v>5.4452703459282117E-3</v>
      </c>
      <c r="DO326" s="775">
        <f t="shared" si="506"/>
        <v>8.6857602321284073</v>
      </c>
      <c r="DP326" s="775">
        <f t="shared" si="507"/>
        <v>4.4552185321048237</v>
      </c>
      <c r="DQ326" s="775">
        <f t="shared" si="508"/>
        <v>45.057834278212418</v>
      </c>
      <c r="DR326" s="775">
        <f t="shared" si="509"/>
        <v>95.712461711430379</v>
      </c>
      <c r="DS326" s="775">
        <f t="shared" si="510"/>
        <v>29.042288660819864</v>
      </c>
      <c r="DT326" s="775">
        <f t="shared" si="511"/>
        <v>45.264046070387103</v>
      </c>
      <c r="DU326" s="775">
        <f t="shared" si="512"/>
        <v>155.66079573771259</v>
      </c>
      <c r="DV326" s="775">
        <f t="shared" si="513"/>
        <v>22.489778074632195</v>
      </c>
      <c r="DW326" s="775">
        <f t="shared" si="514"/>
        <v>10.239063679756446</v>
      </c>
      <c r="DX326" s="775">
        <f t="shared" si="515"/>
        <v>4.6541198544347484</v>
      </c>
      <c r="DY326" s="775">
        <f t="shared" si="516"/>
        <v>39.467424312081235</v>
      </c>
      <c r="DZ326" s="775">
        <f t="shared" si="517"/>
        <v>39.578670451421296</v>
      </c>
      <c r="EA326" s="775"/>
      <c r="EB326" s="775"/>
      <c r="EC326" s="775"/>
      <c r="ED326" s="775"/>
      <c r="EE326" s="775"/>
      <c r="EF326" s="775" t="b">
        <f t="shared" ref="EF326:EF360" si="558">IF(EG326&lt;0.2,TRUE,FALSE)</f>
        <v>0</v>
      </c>
      <c r="EG326" s="775">
        <f t="shared" si="518"/>
        <v>27.898685583681388</v>
      </c>
      <c r="EH326" s="775">
        <v>66</v>
      </c>
      <c r="EI326" s="775">
        <f t="shared" si="479"/>
        <v>33</v>
      </c>
      <c r="EJ326" s="673">
        <f t="shared" si="519"/>
        <v>5.1013144163186128</v>
      </c>
      <c r="EK326" s="673">
        <f t="shared" si="520"/>
        <v>2.2510196371999172</v>
      </c>
      <c r="EL326" s="775" t="b">
        <f t="shared" si="521"/>
        <v>0</v>
      </c>
      <c r="EM326" s="673"/>
      <c r="EN326" s="775">
        <f t="shared" si="522"/>
        <v>5.1013144163186128</v>
      </c>
      <c r="EO326" s="775">
        <f t="shared" si="523"/>
        <v>3.9064622899056357E-2</v>
      </c>
      <c r="EP326" s="775">
        <f t="shared" si="524"/>
        <v>2.6127963168745766E-3</v>
      </c>
      <c r="EQ326" s="775">
        <f t="shared" si="525"/>
        <v>5.2343954533170542</v>
      </c>
      <c r="ER326" s="775">
        <f t="shared" si="526"/>
        <v>2.5963489746491306</v>
      </c>
      <c r="ES326" s="775">
        <f t="shared" si="527"/>
        <v>4.4986694813527377</v>
      </c>
      <c r="ET326" s="775">
        <f t="shared" si="528"/>
        <v>8.8461358973898054</v>
      </c>
      <c r="EU326" s="775">
        <f t="shared" si="529"/>
        <v>2.4565355473268777</v>
      </c>
      <c r="EV326" s="775">
        <f t="shared" si="530"/>
        <v>3.495882468215985</v>
      </c>
      <c r="EW326" s="775">
        <f t="shared" si="531"/>
        <v>48.83077862382045</v>
      </c>
      <c r="EX326" s="775">
        <f t="shared" si="532"/>
        <v>7.9157879328096064</v>
      </c>
      <c r="EY326" s="775">
        <f t="shared" ref="EY326:EY360" si="559">$W$7/EO326</f>
        <v>29.059540723927526</v>
      </c>
      <c r="EZ326" s="775">
        <f t="shared" si="533"/>
        <v>13.208882147239784</v>
      </c>
      <c r="FA326" s="775">
        <f t="shared" si="534"/>
        <v>5.1013144163186128</v>
      </c>
      <c r="FB326" s="775">
        <f t="shared" si="535"/>
        <v>3.7502989916067619</v>
      </c>
      <c r="FC326" s="775"/>
      <c r="FD326" s="775"/>
      <c r="FE326" s="775"/>
      <c r="FF326" s="775"/>
      <c r="FG326" s="775"/>
      <c r="FH326" s="775"/>
      <c r="FI326" s="775"/>
      <c r="FJ326" s="775"/>
      <c r="FK326" s="775" t="b">
        <f t="shared" ref="FK326:FK360" si="560">IF(FL326&lt;0.2,TRUE,FALSE)</f>
        <v>0</v>
      </c>
      <c r="FL326" s="775">
        <f t="shared" si="536"/>
        <v>22.578670451421296</v>
      </c>
      <c r="FM326" s="775">
        <v>66</v>
      </c>
      <c r="FN326" s="775">
        <f t="shared" ref="FN326:FN360" si="561">FN325-0.5</f>
        <v>17</v>
      </c>
      <c r="FO326" s="673">
        <f t="shared" si="480"/>
        <v>39.578670451421296</v>
      </c>
      <c r="FP326" s="673">
        <f t="shared" si="537"/>
        <v>31.576723317281619</v>
      </c>
      <c r="FQ326" s="775" t="b">
        <f t="shared" si="538"/>
        <v>1</v>
      </c>
      <c r="FR326" s="673"/>
      <c r="FS326" s="775">
        <f t="shared" si="539"/>
        <v>39.578670451421296</v>
      </c>
      <c r="FT326" s="775">
        <f t="shared" si="540"/>
        <v>0.11086951263369842</v>
      </c>
      <c r="FU326" s="775">
        <f t="shared" si="541"/>
        <v>5.4452703459282117E-3</v>
      </c>
      <c r="FV326" s="775">
        <f t="shared" si="542"/>
        <v>8.6857602321284073</v>
      </c>
      <c r="FW326" s="775">
        <f t="shared" si="543"/>
        <v>4.4552185321048237</v>
      </c>
      <c r="FX326" s="775">
        <f t="shared" si="544"/>
        <v>54.72226024150158</v>
      </c>
      <c r="FY326" s="775">
        <f t="shared" si="545"/>
        <v>116.24176621068261</v>
      </c>
      <c r="FZ326" s="775">
        <f t="shared" si="546"/>
        <v>29.042288660819864</v>
      </c>
      <c r="GA326" s="775">
        <f t="shared" si="547"/>
        <v>45.264046070387103</v>
      </c>
      <c r="GB326" s="775">
        <f t="shared" si="548"/>
        <v>155.66079573771259</v>
      </c>
      <c r="GC326" s="775">
        <f t="shared" si="549"/>
        <v>22.489778074632195</v>
      </c>
      <c r="GD326" s="775">
        <f t="shared" si="550"/>
        <v>18.162055427004745</v>
      </c>
      <c r="GE326" s="775">
        <f t="shared" si="551"/>
        <v>8.2554797395476101</v>
      </c>
      <c r="GF326" s="775">
        <f t="shared" si="552"/>
        <v>44.275827387709136</v>
      </c>
      <c r="GG326" s="775">
        <f t="shared" si="553"/>
        <v>39.578670451421296</v>
      </c>
    </row>
    <row r="327" spans="70:189">
      <c r="BR327" s="775"/>
      <c r="BS327" s="775"/>
      <c r="BT327" s="775"/>
      <c r="BU327" s="775"/>
      <c r="BV327" s="775"/>
      <c r="BW327" s="775"/>
      <c r="BX327" s="775"/>
      <c r="BY327" s="775" t="b">
        <f t="shared" si="554"/>
        <v>0</v>
      </c>
      <c r="BZ327" s="775">
        <f t="shared" si="481"/>
        <v>28.37663355896332</v>
      </c>
      <c r="CA327" s="775">
        <v>67</v>
      </c>
      <c r="CB327" s="775">
        <f t="shared" ref="CB327:CB360" si="562">CB326+0.5</f>
        <v>33.5</v>
      </c>
      <c r="CC327" s="673">
        <f t="shared" si="482"/>
        <v>5.1233664410366817</v>
      </c>
      <c r="CD327" s="91">
        <f t="shared" si="483"/>
        <v>2</v>
      </c>
      <c r="CE327" s="775" t="b">
        <f t="shared" si="484"/>
        <v>0</v>
      </c>
      <c r="CF327" s="673"/>
      <c r="CG327" s="775">
        <f t="shared" si="485"/>
        <v>5.1233664410366817</v>
      </c>
      <c r="CH327" s="775">
        <f t="shared" si="486"/>
        <v>3.8493144188793717E-2</v>
      </c>
      <c r="CI327" s="775">
        <f t="shared" si="487"/>
        <v>2.5745735629213438E-3</v>
      </c>
      <c r="CJ327" s="775">
        <f t="shared" si="488"/>
        <v>5.2393728453368249</v>
      </c>
      <c r="CK327" s="775">
        <f t="shared" si="489"/>
        <v>2.5975507993596363</v>
      </c>
      <c r="CL327" s="775">
        <f t="shared" si="490"/>
        <v>4.5152744089621057</v>
      </c>
      <c r="CM327" s="775">
        <f t="shared" si="491"/>
        <v>8.8787876507154628</v>
      </c>
      <c r="CN327" s="775">
        <f t="shared" si="492"/>
        <v>2.4613324297962809</v>
      </c>
      <c r="CO327" s="775">
        <f t="shared" si="493"/>
        <v>3.5025276223207786</v>
      </c>
      <c r="CP327" s="775">
        <f t="shared" si="494"/>
        <v>48.116430235992148</v>
      </c>
      <c r="CQ327" s="775">
        <f t="shared" si="495"/>
        <v>7.7999873965995441</v>
      </c>
      <c r="CR327" s="775">
        <f t="shared" si="555"/>
        <v>29.490965831013725</v>
      </c>
      <c r="CS327" s="775">
        <f t="shared" si="496"/>
        <v>13.404984468642601</v>
      </c>
      <c r="CT327" s="775">
        <f t="shared" si="497"/>
        <v>5.1233664410366817</v>
      </c>
      <c r="CU327" s="775">
        <f t="shared" si="498"/>
        <v>3.7593783442805253</v>
      </c>
      <c r="CV327" s="775"/>
      <c r="CW327" s="775"/>
      <c r="CX327" s="775"/>
      <c r="CY327" s="775"/>
      <c r="CZ327" s="775"/>
      <c r="DA327" s="775"/>
      <c r="DB327" s="775"/>
      <c r="DC327" s="775"/>
      <c r="DD327" s="775" t="b">
        <f t="shared" si="556"/>
        <v>0</v>
      </c>
      <c r="DE327" s="775">
        <f t="shared" si="499"/>
        <v>22.770022479532507</v>
      </c>
      <c r="DF327" s="775">
        <v>67</v>
      </c>
      <c r="DG327" s="775">
        <f t="shared" si="557"/>
        <v>16.5</v>
      </c>
      <c r="DH327" s="673">
        <f t="shared" si="500"/>
        <v>39.270022479532507</v>
      </c>
      <c r="DI327" s="673">
        <f t="shared" si="501"/>
        <v>26</v>
      </c>
      <c r="DJ327" s="775" t="b">
        <f t="shared" si="502"/>
        <v>1</v>
      </c>
      <c r="DK327" s="673"/>
      <c r="DL327" s="775">
        <f t="shared" si="503"/>
        <v>39.270022479532507</v>
      </c>
      <c r="DM327" s="775">
        <f t="shared" si="504"/>
        <v>0.11452625738945446</v>
      </c>
      <c r="DN327" s="775">
        <f t="shared" si="505"/>
        <v>5.6248685358015089E-3</v>
      </c>
      <c r="DO327" s="775">
        <f t="shared" si="506"/>
        <v>8.6511035198232733</v>
      </c>
      <c r="DP327" s="775">
        <f t="shared" si="507"/>
        <v>4.4461840058432864</v>
      </c>
      <c r="DQ327" s="775">
        <f t="shared" si="508"/>
        <v>44.693779374163022</v>
      </c>
      <c r="DR327" s="775">
        <f t="shared" si="509"/>
        <v>94.939131354504283</v>
      </c>
      <c r="DS327" s="775">
        <f t="shared" si="510"/>
        <v>28.896826039731732</v>
      </c>
      <c r="DT327" s="775">
        <f t="shared" si="511"/>
        <v>45.057392276839757</v>
      </c>
      <c r="DU327" s="775">
        <f t="shared" si="512"/>
        <v>160.79486537479406</v>
      </c>
      <c r="DV327" s="775">
        <f t="shared" si="513"/>
        <v>23.23154536555769</v>
      </c>
      <c r="DW327" s="775">
        <f t="shared" si="514"/>
        <v>9.9121374074040851</v>
      </c>
      <c r="DX327" s="775">
        <f t="shared" si="515"/>
        <v>4.505517003365493</v>
      </c>
      <c r="DY327" s="775">
        <f t="shared" si="516"/>
        <v>39.270022479532507</v>
      </c>
      <c r="DZ327" s="775">
        <f t="shared" si="517"/>
        <v>39.467185423352248</v>
      </c>
      <c r="EA327" s="775"/>
      <c r="EB327" s="775"/>
      <c r="EC327" s="775"/>
      <c r="ED327" s="775"/>
      <c r="EE327" s="775"/>
      <c r="EF327" s="775" t="b">
        <f t="shared" si="558"/>
        <v>0</v>
      </c>
      <c r="EG327" s="775">
        <f t="shared" si="518"/>
        <v>28.37663355896332</v>
      </c>
      <c r="EH327" s="775">
        <v>67</v>
      </c>
      <c r="EI327" s="775">
        <f t="shared" ref="EI327:EI360" si="563">EI326+0.5</f>
        <v>33.5</v>
      </c>
      <c r="EJ327" s="673">
        <f t="shared" si="519"/>
        <v>5.1233664410366817</v>
      </c>
      <c r="EK327" s="673">
        <f t="shared" si="520"/>
        <v>2.2510196371999172</v>
      </c>
      <c r="EL327" s="775" t="b">
        <f t="shared" si="521"/>
        <v>0</v>
      </c>
      <c r="EM327" s="673"/>
      <c r="EN327" s="775">
        <f t="shared" si="522"/>
        <v>5.1233664410366817</v>
      </c>
      <c r="EO327" s="775">
        <f t="shared" si="523"/>
        <v>3.8493144188793717E-2</v>
      </c>
      <c r="EP327" s="775">
        <f t="shared" si="524"/>
        <v>2.5745735629213438E-3</v>
      </c>
      <c r="EQ327" s="775">
        <f t="shared" si="525"/>
        <v>5.2393728453368249</v>
      </c>
      <c r="ER327" s="775">
        <f t="shared" si="526"/>
        <v>2.5975507993596363</v>
      </c>
      <c r="ES327" s="775">
        <f t="shared" si="527"/>
        <v>4.5152744089621057</v>
      </c>
      <c r="ET327" s="775">
        <f t="shared" si="528"/>
        <v>8.8787876507154628</v>
      </c>
      <c r="EU327" s="775">
        <f t="shared" si="529"/>
        <v>2.4613324297962809</v>
      </c>
      <c r="EV327" s="775">
        <f t="shared" si="530"/>
        <v>3.5025276223207786</v>
      </c>
      <c r="EW327" s="775">
        <f t="shared" si="531"/>
        <v>48.116430235992148</v>
      </c>
      <c r="EX327" s="775">
        <f t="shared" si="532"/>
        <v>7.7999873965995441</v>
      </c>
      <c r="EY327" s="775">
        <f t="shared" si="559"/>
        <v>29.490965831013725</v>
      </c>
      <c r="EZ327" s="775">
        <f t="shared" si="533"/>
        <v>13.404984468642601</v>
      </c>
      <c r="FA327" s="775">
        <f t="shared" si="534"/>
        <v>5.1233664410366817</v>
      </c>
      <c r="FB327" s="775">
        <f t="shared" si="535"/>
        <v>3.7593783442805253</v>
      </c>
      <c r="FC327" s="775"/>
      <c r="FD327" s="775"/>
      <c r="FE327" s="775"/>
      <c r="FF327" s="775"/>
      <c r="FG327" s="775"/>
      <c r="FH327" s="775"/>
      <c r="FI327" s="775"/>
      <c r="FJ327" s="775"/>
      <c r="FK327" s="775" t="b">
        <f t="shared" si="560"/>
        <v>0</v>
      </c>
      <c r="FL327" s="775">
        <f t="shared" si="536"/>
        <v>22.967185423352248</v>
      </c>
      <c r="FM327" s="775">
        <v>67</v>
      </c>
      <c r="FN327" s="775">
        <f t="shared" si="561"/>
        <v>16.5</v>
      </c>
      <c r="FO327" s="673">
        <f t="shared" si="480"/>
        <v>39.467185423352248</v>
      </c>
      <c r="FP327" s="673">
        <f t="shared" si="537"/>
        <v>31.576723317281619</v>
      </c>
      <c r="FQ327" s="775" t="b">
        <f t="shared" si="538"/>
        <v>1</v>
      </c>
      <c r="FR327" s="673"/>
      <c r="FS327" s="775">
        <f t="shared" si="539"/>
        <v>39.467185423352248</v>
      </c>
      <c r="FT327" s="775">
        <f t="shared" si="540"/>
        <v>0.11452625738945446</v>
      </c>
      <c r="FU327" s="775">
        <f t="shared" si="541"/>
        <v>5.6248685358015089E-3</v>
      </c>
      <c r="FV327" s="775">
        <f t="shared" si="542"/>
        <v>8.6511035198232733</v>
      </c>
      <c r="FW327" s="775">
        <f t="shared" si="543"/>
        <v>4.4461840058432864</v>
      </c>
      <c r="FX327" s="775">
        <f t="shared" si="544"/>
        <v>54.28011943467591</v>
      </c>
      <c r="FY327" s="775">
        <f t="shared" si="545"/>
        <v>115.30256472170146</v>
      </c>
      <c r="FZ327" s="775">
        <f t="shared" si="546"/>
        <v>28.896826039731732</v>
      </c>
      <c r="GA327" s="775">
        <f t="shared" si="547"/>
        <v>45.057392276839757</v>
      </c>
      <c r="GB327" s="775">
        <f t="shared" si="548"/>
        <v>160.79486537479406</v>
      </c>
      <c r="GC327" s="775">
        <f t="shared" si="549"/>
        <v>23.23154536555769</v>
      </c>
      <c r="GD327" s="775">
        <f t="shared" si="550"/>
        <v>17.582153468708796</v>
      </c>
      <c r="GE327" s="775">
        <f t="shared" si="551"/>
        <v>7.9918879403221794</v>
      </c>
      <c r="GF327" s="775">
        <f t="shared" si="552"/>
        <v>44.072581849956457</v>
      </c>
      <c r="GG327" s="775">
        <f t="shared" si="553"/>
        <v>39.467185423352248</v>
      </c>
    </row>
    <row r="328" spans="70:189">
      <c r="BR328" s="775"/>
      <c r="BS328" s="775"/>
      <c r="BT328" s="775"/>
      <c r="BU328" s="775"/>
      <c r="BV328" s="775"/>
      <c r="BW328" s="775"/>
      <c r="BX328" s="775"/>
      <c r="BY328" s="775" t="b">
        <f t="shared" si="554"/>
        <v>0</v>
      </c>
      <c r="BZ328" s="775">
        <f t="shared" si="481"/>
        <v>28.854838723353325</v>
      </c>
      <c r="CA328" s="775">
        <v>68</v>
      </c>
      <c r="CB328" s="775">
        <f t="shared" si="562"/>
        <v>34</v>
      </c>
      <c r="CC328" s="673">
        <f t="shared" si="482"/>
        <v>5.1451612766466743</v>
      </c>
      <c r="CD328" s="91">
        <f t="shared" si="483"/>
        <v>2</v>
      </c>
      <c r="CE328" s="775" t="b">
        <f t="shared" si="484"/>
        <v>0</v>
      </c>
      <c r="CF328" s="673"/>
      <c r="CG328" s="775">
        <f t="shared" si="485"/>
        <v>5.1451612766466743</v>
      </c>
      <c r="CH328" s="775">
        <f t="shared" si="486"/>
        <v>3.7938308059500568E-2</v>
      </c>
      <c r="CI328" s="775">
        <f t="shared" si="487"/>
        <v>2.5374639305352316E-3</v>
      </c>
      <c r="CJ328" s="775">
        <f t="shared" si="488"/>
        <v>5.2442170769035474</v>
      </c>
      <c r="CK328" s="775">
        <f t="shared" si="489"/>
        <v>2.5987192227634495</v>
      </c>
      <c r="CL328" s="775">
        <f t="shared" si="490"/>
        <v>4.5316932621985924</v>
      </c>
      <c r="CM328" s="775">
        <f t="shared" si="491"/>
        <v>8.9110735093701834</v>
      </c>
      <c r="CN328" s="775">
        <f t="shared" si="492"/>
        <v>2.4660664973845954</v>
      </c>
      <c r="CO328" s="775">
        <f t="shared" si="493"/>
        <v>3.5090859820451787</v>
      </c>
      <c r="CP328" s="775">
        <f t="shared" si="494"/>
        <v>47.422885074375714</v>
      </c>
      <c r="CQ328" s="775">
        <f t="shared" si="495"/>
        <v>7.687559199140825</v>
      </c>
      <c r="CR328" s="775">
        <f t="shared" si="555"/>
        <v>29.922262168877126</v>
      </c>
      <c r="CS328" s="775">
        <f t="shared" si="496"/>
        <v>13.601028258580511</v>
      </c>
      <c r="CT328" s="775">
        <f t="shared" si="497"/>
        <v>5.1451612766466743</v>
      </c>
      <c r="CU328" s="775">
        <f t="shared" si="498"/>
        <v>3.768337429402409</v>
      </c>
      <c r="CV328" s="775"/>
      <c r="CW328" s="775"/>
      <c r="CX328" s="775"/>
      <c r="CY328" s="775"/>
      <c r="CZ328" s="775"/>
      <c r="DA328" s="775"/>
      <c r="DB328" s="775"/>
      <c r="DC328" s="775"/>
      <c r="DD328" s="775" t="b">
        <f t="shared" si="556"/>
        <v>0</v>
      </c>
      <c r="DE328" s="775">
        <f t="shared" si="499"/>
        <v>23.066879631672855</v>
      </c>
      <c r="DF328" s="775">
        <v>68</v>
      </c>
      <c r="DG328" s="775">
        <f t="shared" si="557"/>
        <v>16</v>
      </c>
      <c r="DH328" s="673">
        <f t="shared" si="500"/>
        <v>39.066879631672855</v>
      </c>
      <c r="DI328" s="673">
        <f t="shared" si="501"/>
        <v>26</v>
      </c>
      <c r="DJ328" s="775" t="b">
        <f t="shared" si="502"/>
        <v>1</v>
      </c>
      <c r="DK328" s="673"/>
      <c r="DL328" s="775">
        <f t="shared" si="503"/>
        <v>39.066879631672855</v>
      </c>
      <c r="DM328" s="775">
        <f t="shared" si="504"/>
        <v>0.11842181003389897</v>
      </c>
      <c r="DN328" s="775">
        <f t="shared" si="505"/>
        <v>5.8161955903893586E-3</v>
      </c>
      <c r="DO328" s="775">
        <f t="shared" si="506"/>
        <v>8.6145763811189138</v>
      </c>
      <c r="DP328" s="775">
        <f t="shared" si="507"/>
        <v>4.4366196754229197</v>
      </c>
      <c r="DQ328" s="775">
        <f t="shared" si="508"/>
        <v>44.321599420860181</v>
      </c>
      <c r="DR328" s="775">
        <f t="shared" si="509"/>
        <v>94.148541657931005</v>
      </c>
      <c r="DS328" s="775">
        <f t="shared" si="510"/>
        <v>28.747469563234368</v>
      </c>
      <c r="DT328" s="775">
        <f t="shared" si="511"/>
        <v>44.845193283905452</v>
      </c>
      <c r="DU328" s="775">
        <f t="shared" si="512"/>
        <v>166.26422128759415</v>
      </c>
      <c r="DV328" s="775">
        <f t="shared" si="513"/>
        <v>24.021754615787358</v>
      </c>
      <c r="DW328" s="775">
        <f t="shared" si="514"/>
        <v>9.5860720223330649</v>
      </c>
      <c r="DX328" s="775">
        <f t="shared" si="515"/>
        <v>4.3573054646968474</v>
      </c>
      <c r="DY328" s="775">
        <f t="shared" si="516"/>
        <v>39.066879631672855</v>
      </c>
      <c r="DZ328" s="775">
        <f t="shared" si="517"/>
        <v>39.352279958162555</v>
      </c>
      <c r="EA328" s="775"/>
      <c r="EB328" s="775"/>
      <c r="EC328" s="775"/>
      <c r="ED328" s="775"/>
      <c r="EE328" s="775"/>
      <c r="EF328" s="775" t="b">
        <f t="shared" si="558"/>
        <v>0</v>
      </c>
      <c r="EG328" s="775">
        <f t="shared" si="518"/>
        <v>28.854838723353325</v>
      </c>
      <c r="EH328" s="775">
        <v>68</v>
      </c>
      <c r="EI328" s="775">
        <f t="shared" si="563"/>
        <v>34</v>
      </c>
      <c r="EJ328" s="673">
        <f t="shared" si="519"/>
        <v>5.1451612766466743</v>
      </c>
      <c r="EK328" s="673">
        <f t="shared" si="520"/>
        <v>2.2510196371999172</v>
      </c>
      <c r="EL328" s="775" t="b">
        <f t="shared" si="521"/>
        <v>0</v>
      </c>
      <c r="EM328" s="673"/>
      <c r="EN328" s="775">
        <f t="shared" si="522"/>
        <v>5.1451612766466743</v>
      </c>
      <c r="EO328" s="775">
        <f t="shared" si="523"/>
        <v>3.7938308059500568E-2</v>
      </c>
      <c r="EP328" s="775">
        <f t="shared" si="524"/>
        <v>2.5374639305352316E-3</v>
      </c>
      <c r="EQ328" s="775">
        <f t="shared" si="525"/>
        <v>5.2442170769035474</v>
      </c>
      <c r="ER328" s="775">
        <f t="shared" si="526"/>
        <v>2.5987192227634495</v>
      </c>
      <c r="ES328" s="775">
        <f t="shared" si="527"/>
        <v>4.5316932621985924</v>
      </c>
      <c r="ET328" s="775">
        <f t="shared" si="528"/>
        <v>8.9110735093701834</v>
      </c>
      <c r="EU328" s="775">
        <f t="shared" si="529"/>
        <v>2.4660664973845954</v>
      </c>
      <c r="EV328" s="775">
        <f t="shared" si="530"/>
        <v>3.5090859820451787</v>
      </c>
      <c r="EW328" s="775">
        <f t="shared" si="531"/>
        <v>47.422885074375714</v>
      </c>
      <c r="EX328" s="775">
        <f t="shared" si="532"/>
        <v>7.687559199140825</v>
      </c>
      <c r="EY328" s="775">
        <f t="shared" si="559"/>
        <v>29.922262168877126</v>
      </c>
      <c r="EZ328" s="775">
        <f t="shared" si="533"/>
        <v>13.601028258580511</v>
      </c>
      <c r="FA328" s="775">
        <f t="shared" si="534"/>
        <v>5.1451612766466743</v>
      </c>
      <c r="FB328" s="775">
        <f t="shared" si="535"/>
        <v>3.768337429402409</v>
      </c>
      <c r="FC328" s="775"/>
      <c r="FD328" s="775"/>
      <c r="FE328" s="775"/>
      <c r="FF328" s="775"/>
      <c r="FG328" s="775"/>
      <c r="FH328" s="775"/>
      <c r="FI328" s="775"/>
      <c r="FJ328" s="775"/>
      <c r="FK328" s="775" t="b">
        <f t="shared" si="560"/>
        <v>0</v>
      </c>
      <c r="FL328" s="775">
        <f t="shared" si="536"/>
        <v>23.352279958162555</v>
      </c>
      <c r="FM328" s="775">
        <v>68</v>
      </c>
      <c r="FN328" s="775">
        <f t="shared" si="561"/>
        <v>16</v>
      </c>
      <c r="FO328" s="673">
        <f t="shared" si="480"/>
        <v>39.352279958162555</v>
      </c>
      <c r="FP328" s="673">
        <f t="shared" si="537"/>
        <v>31.576723317281619</v>
      </c>
      <c r="FQ328" s="775" t="b">
        <f t="shared" si="538"/>
        <v>1</v>
      </c>
      <c r="FR328" s="673"/>
      <c r="FS328" s="775">
        <f t="shared" si="539"/>
        <v>39.352279958162555</v>
      </c>
      <c r="FT328" s="775">
        <f t="shared" si="540"/>
        <v>0.11842181003389897</v>
      </c>
      <c r="FU328" s="775">
        <f t="shared" si="541"/>
        <v>5.8161955903893586E-3</v>
      </c>
      <c r="FV328" s="775">
        <f t="shared" si="542"/>
        <v>8.6145763811189138</v>
      </c>
      <c r="FW328" s="775">
        <f t="shared" si="543"/>
        <v>4.4366196754229197</v>
      </c>
      <c r="FX328" s="775">
        <f t="shared" si="544"/>
        <v>53.828110841995816</v>
      </c>
      <c r="FY328" s="775">
        <f t="shared" si="545"/>
        <v>114.34240194838654</v>
      </c>
      <c r="FZ328" s="775">
        <f t="shared" si="546"/>
        <v>28.747469563234368</v>
      </c>
      <c r="GA328" s="775">
        <f t="shared" si="547"/>
        <v>44.845193283905452</v>
      </c>
      <c r="GB328" s="775">
        <f t="shared" si="548"/>
        <v>166.26422128759415</v>
      </c>
      <c r="GC328" s="775">
        <f t="shared" si="549"/>
        <v>24.021754615787358</v>
      </c>
      <c r="GD328" s="775">
        <f t="shared" si="550"/>
        <v>17.003778552631672</v>
      </c>
      <c r="GE328" s="775">
        <f t="shared" si="551"/>
        <v>7.7289902511962145</v>
      </c>
      <c r="GF328" s="775">
        <f t="shared" si="552"/>
        <v>43.863261883762235</v>
      </c>
      <c r="GG328" s="775">
        <f t="shared" si="553"/>
        <v>39.352279958162555</v>
      </c>
    </row>
    <row r="329" spans="70:189">
      <c r="BR329" s="775"/>
      <c r="BS329" s="775"/>
      <c r="BT329" s="775"/>
      <c r="BU329" s="775"/>
      <c r="BV329" s="775"/>
      <c r="BW329" s="775"/>
      <c r="BX329" s="775"/>
      <c r="BY329" s="775" t="b">
        <f t="shared" si="554"/>
        <v>0</v>
      </c>
      <c r="BZ329" s="775">
        <f t="shared" si="481"/>
        <v>29.333294393818026</v>
      </c>
      <c r="CA329" s="775">
        <v>69</v>
      </c>
      <c r="CB329" s="775">
        <f t="shared" si="562"/>
        <v>34.5</v>
      </c>
      <c r="CC329" s="673">
        <f t="shared" si="482"/>
        <v>5.1667056061819734</v>
      </c>
      <c r="CD329" s="91">
        <f t="shared" si="483"/>
        <v>2</v>
      </c>
      <c r="CE329" s="775" t="b">
        <f t="shared" si="484"/>
        <v>0</v>
      </c>
      <c r="CF329" s="673"/>
      <c r="CG329" s="775">
        <f t="shared" si="485"/>
        <v>5.1667056061819734</v>
      </c>
      <c r="CH329" s="775">
        <f t="shared" si="486"/>
        <v>3.7399395639428165E-2</v>
      </c>
      <c r="CI329" s="775">
        <f t="shared" si="487"/>
        <v>2.501419338733549E-3</v>
      </c>
      <c r="CJ329" s="775">
        <f t="shared" si="488"/>
        <v>5.2489334444849796</v>
      </c>
      <c r="CK329" s="775">
        <f t="shared" si="489"/>
        <v>2.599855623429765</v>
      </c>
      <c r="CL329" s="775">
        <f t="shared" si="490"/>
        <v>4.547930817205696</v>
      </c>
      <c r="CM329" s="775">
        <f t="shared" si="491"/>
        <v>8.9430028651118274</v>
      </c>
      <c r="CN329" s="775">
        <f t="shared" si="492"/>
        <v>2.4707394794487896</v>
      </c>
      <c r="CO329" s="775">
        <f t="shared" si="493"/>
        <v>3.5155599337087553</v>
      </c>
      <c r="CP329" s="775">
        <f t="shared" si="494"/>
        <v>46.749244549285208</v>
      </c>
      <c r="CQ329" s="775">
        <f t="shared" si="495"/>
        <v>7.5783576731802764</v>
      </c>
      <c r="CR329" s="775">
        <f t="shared" si="555"/>
        <v>30.353431668912314</v>
      </c>
      <c r="CS329" s="775">
        <f t="shared" si="496"/>
        <v>13.797014394960142</v>
      </c>
      <c r="CT329" s="775">
        <f t="shared" si="497"/>
        <v>5.1667056061819734</v>
      </c>
      <c r="CU329" s="775">
        <f t="shared" si="498"/>
        <v>3.7771795726089512</v>
      </c>
      <c r="CV329" s="775"/>
      <c r="CW329" s="775"/>
      <c r="CX329" s="775"/>
      <c r="CY329" s="775"/>
      <c r="CZ329" s="775"/>
      <c r="DA329" s="775"/>
      <c r="DB329" s="775"/>
      <c r="DC329" s="775"/>
      <c r="DD329" s="775" t="b">
        <f t="shared" si="556"/>
        <v>0</v>
      </c>
      <c r="DE329" s="775">
        <f t="shared" si="499"/>
        <v>23.357648481905713</v>
      </c>
      <c r="DF329" s="775">
        <v>69</v>
      </c>
      <c r="DG329" s="775">
        <f t="shared" si="557"/>
        <v>15.5</v>
      </c>
      <c r="DH329" s="673">
        <f t="shared" si="500"/>
        <v>38.857648481905713</v>
      </c>
      <c r="DI329" s="673">
        <f t="shared" si="501"/>
        <v>26</v>
      </c>
      <c r="DJ329" s="775" t="b">
        <f t="shared" si="502"/>
        <v>1</v>
      </c>
      <c r="DK329" s="673"/>
      <c r="DL329" s="775">
        <f t="shared" si="503"/>
        <v>38.857648481905713</v>
      </c>
      <c r="DM329" s="775">
        <f t="shared" si="504"/>
        <v>0.12257998392531937</v>
      </c>
      <c r="DN329" s="775">
        <f t="shared" si="505"/>
        <v>6.0204210843623727E-3</v>
      </c>
      <c r="DO329" s="775">
        <f t="shared" si="506"/>
        <v>8.5760260495087959</v>
      </c>
      <c r="DP329" s="775">
        <f t="shared" si="507"/>
        <v>4.4264783556354992</v>
      </c>
      <c r="DQ329" s="775">
        <f t="shared" si="508"/>
        <v>43.940850426514388</v>
      </c>
      <c r="DR329" s="775">
        <f t="shared" si="509"/>
        <v>93.339749488339109</v>
      </c>
      <c r="DS329" s="775">
        <f t="shared" si="510"/>
        <v>28.59398868258052</v>
      </c>
      <c r="DT329" s="775">
        <f t="shared" si="511"/>
        <v>44.627119714240145</v>
      </c>
      <c r="DU329" s="775">
        <f t="shared" si="512"/>
        <v>172.1022974311484</v>
      </c>
      <c r="DV329" s="775">
        <f t="shared" si="513"/>
        <v>24.865236343020555</v>
      </c>
      <c r="DW329" s="775">
        <f t="shared" si="514"/>
        <v>9.2608920612325196</v>
      </c>
      <c r="DX329" s="775">
        <f t="shared" si="515"/>
        <v>4.2094963914693269</v>
      </c>
      <c r="DY329" s="775">
        <f t="shared" si="516"/>
        <v>38.857648481905713</v>
      </c>
      <c r="DZ329" s="775">
        <f t="shared" si="517"/>
        <v>39.233738011848203</v>
      </c>
      <c r="EA329" s="775"/>
      <c r="EB329" s="775"/>
      <c r="EC329" s="775"/>
      <c r="ED329" s="775"/>
      <c r="EE329" s="775"/>
      <c r="EF329" s="775" t="b">
        <f t="shared" si="558"/>
        <v>0</v>
      </c>
      <c r="EG329" s="775">
        <f t="shared" si="518"/>
        <v>29.333294393818026</v>
      </c>
      <c r="EH329" s="775">
        <v>69</v>
      </c>
      <c r="EI329" s="775">
        <f t="shared" si="563"/>
        <v>34.5</v>
      </c>
      <c r="EJ329" s="673">
        <f t="shared" si="519"/>
        <v>5.1667056061819734</v>
      </c>
      <c r="EK329" s="673">
        <f t="shared" si="520"/>
        <v>2.2510196371999172</v>
      </c>
      <c r="EL329" s="775" t="b">
        <f t="shared" si="521"/>
        <v>0</v>
      </c>
      <c r="EM329" s="673"/>
      <c r="EN329" s="775">
        <f t="shared" si="522"/>
        <v>5.1667056061819734</v>
      </c>
      <c r="EO329" s="775">
        <f t="shared" si="523"/>
        <v>3.7399395639428165E-2</v>
      </c>
      <c r="EP329" s="775">
        <f t="shared" si="524"/>
        <v>2.501419338733549E-3</v>
      </c>
      <c r="EQ329" s="775">
        <f t="shared" si="525"/>
        <v>5.2489334444849796</v>
      </c>
      <c r="ER329" s="775">
        <f t="shared" si="526"/>
        <v>2.599855623429765</v>
      </c>
      <c r="ES329" s="775">
        <f t="shared" si="527"/>
        <v>4.547930817205696</v>
      </c>
      <c r="ET329" s="775">
        <f t="shared" si="528"/>
        <v>8.9430028651118274</v>
      </c>
      <c r="EU329" s="775">
        <f t="shared" si="529"/>
        <v>2.4707394794487896</v>
      </c>
      <c r="EV329" s="775">
        <f t="shared" si="530"/>
        <v>3.5155599337087553</v>
      </c>
      <c r="EW329" s="775">
        <f t="shared" si="531"/>
        <v>46.749244549285208</v>
      </c>
      <c r="EX329" s="775">
        <f t="shared" si="532"/>
        <v>7.5783576731802764</v>
      </c>
      <c r="EY329" s="775">
        <f t="shared" si="559"/>
        <v>30.353431668912314</v>
      </c>
      <c r="EZ329" s="775">
        <f t="shared" si="533"/>
        <v>13.797014394960142</v>
      </c>
      <c r="FA329" s="775">
        <f t="shared" si="534"/>
        <v>5.1667056061819734</v>
      </c>
      <c r="FB329" s="775">
        <f t="shared" si="535"/>
        <v>3.7771795726089512</v>
      </c>
      <c r="FC329" s="775"/>
      <c r="FD329" s="775"/>
      <c r="FE329" s="775"/>
      <c r="FF329" s="775"/>
      <c r="FG329" s="775"/>
      <c r="FH329" s="775"/>
      <c r="FI329" s="775"/>
      <c r="FJ329" s="775"/>
      <c r="FK329" s="775" t="b">
        <f t="shared" si="560"/>
        <v>0</v>
      </c>
      <c r="FL329" s="775">
        <f t="shared" si="536"/>
        <v>23.733738011848203</v>
      </c>
      <c r="FM329" s="775">
        <v>69</v>
      </c>
      <c r="FN329" s="775">
        <f t="shared" si="561"/>
        <v>15.5</v>
      </c>
      <c r="FO329" s="673">
        <f t="shared" si="480"/>
        <v>39.233738011848203</v>
      </c>
      <c r="FP329" s="673">
        <f t="shared" si="537"/>
        <v>31.576723317281619</v>
      </c>
      <c r="FQ329" s="775" t="b">
        <f t="shared" si="538"/>
        <v>1</v>
      </c>
      <c r="FR329" s="673"/>
      <c r="FS329" s="775">
        <f t="shared" si="539"/>
        <v>39.233738011848203</v>
      </c>
      <c r="FT329" s="775">
        <f t="shared" si="540"/>
        <v>0.12257998392531937</v>
      </c>
      <c r="FU329" s="775">
        <f t="shared" si="541"/>
        <v>6.0204210843623727E-3</v>
      </c>
      <c r="FV329" s="775">
        <f t="shared" si="542"/>
        <v>8.5760260495087959</v>
      </c>
      <c r="FW329" s="775">
        <f t="shared" si="543"/>
        <v>4.4264783556354992</v>
      </c>
      <c r="FX329" s="775">
        <f t="shared" si="544"/>
        <v>53.365695240157727</v>
      </c>
      <c r="FY329" s="775">
        <f t="shared" si="545"/>
        <v>113.36013246529473</v>
      </c>
      <c r="FZ329" s="775">
        <f t="shared" si="546"/>
        <v>28.59398868258052</v>
      </c>
      <c r="GA329" s="775">
        <f t="shared" si="547"/>
        <v>44.627119714240145</v>
      </c>
      <c r="GB329" s="775">
        <f t="shared" si="548"/>
        <v>172.1022974311484</v>
      </c>
      <c r="GC329" s="775">
        <f t="shared" si="549"/>
        <v>24.865236343020555</v>
      </c>
      <c r="GD329" s="775">
        <f t="shared" si="550"/>
        <v>16.426974201962778</v>
      </c>
      <c r="GE329" s="775">
        <f t="shared" si="551"/>
        <v>7.4668064554376263</v>
      </c>
      <c r="GF329" s="775">
        <f t="shared" si="552"/>
        <v>43.647494945213872</v>
      </c>
      <c r="GG329" s="775">
        <f t="shared" si="553"/>
        <v>39.233738011848203</v>
      </c>
    </row>
    <row r="330" spans="70:189">
      <c r="BR330" s="775"/>
      <c r="BS330" s="775"/>
      <c r="BT330" s="775"/>
      <c r="BU330" s="775"/>
      <c r="BV330" s="775"/>
      <c r="BW330" s="775"/>
      <c r="BX330" s="775"/>
      <c r="BY330" s="775" t="b">
        <f t="shared" si="554"/>
        <v>0</v>
      </c>
      <c r="BZ330" s="775">
        <f t="shared" si="481"/>
        <v>29.811994154527603</v>
      </c>
      <c r="CA330" s="775">
        <v>70</v>
      </c>
      <c r="CB330" s="775">
        <f t="shared" si="562"/>
        <v>35</v>
      </c>
      <c r="CC330" s="673">
        <f t="shared" si="482"/>
        <v>5.1880058454723974</v>
      </c>
      <c r="CD330" s="91">
        <f t="shared" si="483"/>
        <v>2</v>
      </c>
      <c r="CE330" s="775" t="b">
        <f t="shared" si="484"/>
        <v>0</v>
      </c>
      <c r="CF330" s="673"/>
      <c r="CG330" s="775">
        <f t="shared" si="485"/>
        <v>5.1880058454723974</v>
      </c>
      <c r="CH330" s="775">
        <f t="shared" si="486"/>
        <v>3.6875728935732634E-2</v>
      </c>
      <c r="CI330" s="775">
        <f t="shared" si="487"/>
        <v>2.4663944406762691E-3</v>
      </c>
      <c r="CJ330" s="775">
        <f t="shared" si="488"/>
        <v>5.2535269666061799</v>
      </c>
      <c r="CK330" s="775">
        <f t="shared" si="489"/>
        <v>2.600961304939418</v>
      </c>
      <c r="CL330" s="775">
        <f t="shared" si="490"/>
        <v>4.5639916604492479</v>
      </c>
      <c r="CM330" s="775">
        <f t="shared" si="491"/>
        <v>8.9745847367180964</v>
      </c>
      <c r="CN330" s="775">
        <f t="shared" si="492"/>
        <v>2.4753530335013711</v>
      </c>
      <c r="CO330" s="775">
        <f t="shared" si="493"/>
        <v>3.5219517645836884</v>
      </c>
      <c r="CP330" s="775">
        <f t="shared" si="494"/>
        <v>46.094661169665791</v>
      </c>
      <c r="CQ330" s="775">
        <f t="shared" si="495"/>
        <v>7.4722454348863439</v>
      </c>
      <c r="CR330" s="775">
        <f t="shared" si="555"/>
        <v>30.784476205973778</v>
      </c>
      <c r="CS330" s="775">
        <f t="shared" si="496"/>
        <v>13.992943729988079</v>
      </c>
      <c r="CT330" s="775">
        <f t="shared" si="497"/>
        <v>5.1880058454723974</v>
      </c>
      <c r="CU330" s="775">
        <f t="shared" si="498"/>
        <v>3.7859079610178559</v>
      </c>
      <c r="CV330" s="775"/>
      <c r="CW330" s="775"/>
      <c r="CX330" s="775"/>
      <c r="CY330" s="775"/>
      <c r="CZ330" s="775"/>
      <c r="DA330" s="775"/>
      <c r="DB330" s="775"/>
      <c r="DC330" s="775"/>
      <c r="DD330" s="775" t="b">
        <f t="shared" si="556"/>
        <v>0</v>
      </c>
      <c r="DE330" s="775">
        <f t="shared" si="499"/>
        <v>23.641948895426673</v>
      </c>
      <c r="DF330" s="775">
        <v>70</v>
      </c>
      <c r="DG330" s="775">
        <f t="shared" si="557"/>
        <v>15</v>
      </c>
      <c r="DH330" s="673">
        <f t="shared" si="500"/>
        <v>38.641948895426673</v>
      </c>
      <c r="DI330" s="673">
        <f t="shared" si="501"/>
        <v>26</v>
      </c>
      <c r="DJ330" s="775" t="b">
        <f t="shared" si="502"/>
        <v>1</v>
      </c>
      <c r="DK330" s="673"/>
      <c r="DL330" s="775">
        <f t="shared" si="503"/>
        <v>38.641948895426673</v>
      </c>
      <c r="DM330" s="775">
        <f t="shared" si="504"/>
        <v>0.12702784118091176</v>
      </c>
      <c r="DN330" s="775">
        <f t="shared" si="505"/>
        <v>6.2388741526717695E-3</v>
      </c>
      <c r="DO330" s="775">
        <f t="shared" si="506"/>
        <v>8.5352828221812551</v>
      </c>
      <c r="DP330" s="775">
        <f t="shared" si="507"/>
        <v>4.4157071398719001</v>
      </c>
      <c r="DQ330" s="775">
        <f t="shared" si="508"/>
        <v>43.551048844091113</v>
      </c>
      <c r="DR330" s="775">
        <f t="shared" si="509"/>
        <v>92.511727688570048</v>
      </c>
      <c r="DS330" s="775">
        <f t="shared" si="510"/>
        <v>28.436131225600192</v>
      </c>
      <c r="DT330" s="775">
        <f t="shared" si="511"/>
        <v>44.402811203263674</v>
      </c>
      <c r="DU330" s="775">
        <f t="shared" si="512"/>
        <v>178.3470890180001</v>
      </c>
      <c r="DV330" s="775">
        <f t="shared" si="513"/>
        <v>25.767480072695896</v>
      </c>
      <c r="DW330" s="775">
        <f t="shared" si="514"/>
        <v>8.9366235735932857</v>
      </c>
      <c r="DX330" s="775">
        <f t="shared" si="515"/>
        <v>4.0621016243605839</v>
      </c>
      <c r="DY330" s="775">
        <f t="shared" si="516"/>
        <v>38.641948895426673</v>
      </c>
      <c r="DZ330" s="775">
        <f t="shared" si="517"/>
        <v>39.111322391844297</v>
      </c>
      <c r="EA330" s="775"/>
      <c r="EB330" s="775"/>
      <c r="EC330" s="775"/>
      <c r="ED330" s="775"/>
      <c r="EE330" s="775"/>
      <c r="EF330" s="775" t="b">
        <f t="shared" si="558"/>
        <v>0</v>
      </c>
      <c r="EG330" s="775">
        <f t="shared" si="518"/>
        <v>29.811994154527603</v>
      </c>
      <c r="EH330" s="775">
        <v>70</v>
      </c>
      <c r="EI330" s="775">
        <f t="shared" si="563"/>
        <v>35</v>
      </c>
      <c r="EJ330" s="673">
        <f t="shared" si="519"/>
        <v>5.1880058454723974</v>
      </c>
      <c r="EK330" s="673">
        <f t="shared" si="520"/>
        <v>2.2510196371999172</v>
      </c>
      <c r="EL330" s="775" t="b">
        <f t="shared" si="521"/>
        <v>0</v>
      </c>
      <c r="EM330" s="673"/>
      <c r="EN330" s="775">
        <f t="shared" si="522"/>
        <v>5.1880058454723974</v>
      </c>
      <c r="EO330" s="775">
        <f t="shared" si="523"/>
        <v>3.6875728935732634E-2</v>
      </c>
      <c r="EP330" s="775">
        <f t="shared" si="524"/>
        <v>2.4663944406762691E-3</v>
      </c>
      <c r="EQ330" s="775">
        <f t="shared" si="525"/>
        <v>5.2535269666061799</v>
      </c>
      <c r="ER330" s="775">
        <f t="shared" si="526"/>
        <v>2.600961304939418</v>
      </c>
      <c r="ES330" s="775">
        <f t="shared" si="527"/>
        <v>4.5639916604492479</v>
      </c>
      <c r="ET330" s="775">
        <f t="shared" si="528"/>
        <v>8.9745847367180964</v>
      </c>
      <c r="EU330" s="775">
        <f t="shared" si="529"/>
        <v>2.4753530335013711</v>
      </c>
      <c r="EV330" s="775">
        <f t="shared" si="530"/>
        <v>3.5219517645836884</v>
      </c>
      <c r="EW330" s="775">
        <f t="shared" si="531"/>
        <v>46.094661169665791</v>
      </c>
      <c r="EX330" s="775">
        <f t="shared" si="532"/>
        <v>7.4722454348863439</v>
      </c>
      <c r="EY330" s="775">
        <f t="shared" si="559"/>
        <v>30.784476205973778</v>
      </c>
      <c r="EZ330" s="775">
        <f t="shared" si="533"/>
        <v>13.992943729988079</v>
      </c>
      <c r="FA330" s="775">
        <f t="shared" si="534"/>
        <v>5.1880058454723974</v>
      </c>
      <c r="FB330" s="775">
        <f t="shared" si="535"/>
        <v>3.7859079610178559</v>
      </c>
      <c r="FC330" s="775"/>
      <c r="FD330" s="775"/>
      <c r="FE330" s="775"/>
      <c r="FF330" s="775"/>
      <c r="FG330" s="775"/>
      <c r="FH330" s="775"/>
      <c r="FI330" s="775"/>
      <c r="FJ330" s="775"/>
      <c r="FK330" s="775" t="b">
        <f t="shared" si="560"/>
        <v>0</v>
      </c>
      <c r="FL330" s="775">
        <f t="shared" si="536"/>
        <v>24.111322391844297</v>
      </c>
      <c r="FM330" s="775">
        <v>70</v>
      </c>
      <c r="FN330" s="775">
        <f t="shared" si="561"/>
        <v>15</v>
      </c>
      <c r="FO330" s="673">
        <f t="shared" si="480"/>
        <v>39.111322391844297</v>
      </c>
      <c r="FP330" s="673">
        <f t="shared" si="537"/>
        <v>31.576723317281619</v>
      </c>
      <c r="FQ330" s="775" t="b">
        <f t="shared" si="538"/>
        <v>1</v>
      </c>
      <c r="FR330" s="673"/>
      <c r="FS330" s="775">
        <f t="shared" si="539"/>
        <v>39.111322391844297</v>
      </c>
      <c r="FT330" s="775">
        <f t="shared" si="540"/>
        <v>0.12702784118091176</v>
      </c>
      <c r="FU330" s="775">
        <f t="shared" si="541"/>
        <v>6.2388741526717695E-3</v>
      </c>
      <c r="FV330" s="775">
        <f t="shared" si="542"/>
        <v>8.5352828221812551</v>
      </c>
      <c r="FW330" s="775">
        <f t="shared" si="543"/>
        <v>4.4157071398719001</v>
      </c>
      <c r="FX330" s="775">
        <f t="shared" si="544"/>
        <v>52.892285366433946</v>
      </c>
      <c r="FY330" s="775">
        <f t="shared" si="545"/>
        <v>112.35450880098759</v>
      </c>
      <c r="FZ330" s="775">
        <f t="shared" si="546"/>
        <v>28.436131225600192</v>
      </c>
      <c r="GA330" s="775">
        <f t="shared" si="547"/>
        <v>44.402811203263674</v>
      </c>
      <c r="GB330" s="775">
        <f t="shared" si="548"/>
        <v>178.3470890180001</v>
      </c>
      <c r="GC330" s="775">
        <f t="shared" si="549"/>
        <v>25.767480072695896</v>
      </c>
      <c r="GD330" s="775">
        <f t="shared" si="550"/>
        <v>15.851786623299837</v>
      </c>
      <c r="GE330" s="775">
        <f t="shared" si="551"/>
        <v>7.2053575560453798</v>
      </c>
      <c r="GF330" s="775">
        <f t="shared" si="552"/>
        <v>43.42487293675584</v>
      </c>
      <c r="GG330" s="775">
        <f t="shared" si="553"/>
        <v>39.111322391844297</v>
      </c>
    </row>
    <row r="331" spans="70:189">
      <c r="BR331" s="775"/>
      <c r="BS331" s="775"/>
      <c r="BT331" s="775"/>
      <c r="BU331" s="775"/>
      <c r="BV331" s="775"/>
      <c r="BW331" s="775"/>
      <c r="BX331" s="775"/>
      <c r="BY331" s="775" t="b">
        <f t="shared" si="554"/>
        <v>0</v>
      </c>
      <c r="BZ331" s="775">
        <f t="shared" si="481"/>
        <v>30.29093184253335</v>
      </c>
      <c r="CA331" s="775">
        <v>71</v>
      </c>
      <c r="CB331" s="775">
        <f t="shared" si="562"/>
        <v>35.5</v>
      </c>
      <c r="CC331" s="673">
        <f t="shared" si="482"/>
        <v>5.2090681574666498</v>
      </c>
      <c r="CD331" s="91">
        <f t="shared" si="483"/>
        <v>2</v>
      </c>
      <c r="CE331" s="775" t="b">
        <f t="shared" si="484"/>
        <v>0</v>
      </c>
      <c r="CF331" s="673"/>
      <c r="CG331" s="775">
        <f t="shared" si="485"/>
        <v>5.2090681574666498</v>
      </c>
      <c r="CH331" s="775">
        <f t="shared" si="486"/>
        <v>3.6366667966784227E-2</v>
      </c>
      <c r="CI331" s="775">
        <f t="shared" si="487"/>
        <v>2.4323464318635403E-3</v>
      </c>
      <c r="CJ331" s="775">
        <f t="shared" si="488"/>
        <v>5.258002401879331</v>
      </c>
      <c r="CK331" s="775">
        <f t="shared" si="489"/>
        <v>2.602037500922139</v>
      </c>
      <c r="CL331" s="775">
        <f t="shared" si="490"/>
        <v>4.5798801988387243</v>
      </c>
      <c r="CM331" s="775">
        <f t="shared" si="491"/>
        <v>9.0058277898889951</v>
      </c>
      <c r="CN331" s="775">
        <f t="shared" si="492"/>
        <v>2.4799087491731129</v>
      </c>
      <c r="CO331" s="775">
        <f t="shared" si="493"/>
        <v>3.5282636683542137</v>
      </c>
      <c r="CP331" s="775">
        <f t="shared" si="494"/>
        <v>45.458334958480286</v>
      </c>
      <c r="CQ331" s="775">
        <f t="shared" si="495"/>
        <v>7.3690928027598606</v>
      </c>
      <c r="CR331" s="775">
        <f t="shared" si="555"/>
        <v>31.215397600815216</v>
      </c>
      <c r="CS331" s="775">
        <f t="shared" si="496"/>
        <v>14.188817091279642</v>
      </c>
      <c r="CT331" s="775">
        <f t="shared" si="497"/>
        <v>5.2090681574666498</v>
      </c>
      <c r="CU331" s="775">
        <f t="shared" si="498"/>
        <v>3.7945256508820608</v>
      </c>
      <c r="CV331" s="775"/>
      <c r="CW331" s="775"/>
      <c r="CX331" s="775"/>
      <c r="CY331" s="775"/>
      <c r="CZ331" s="775"/>
      <c r="DA331" s="775"/>
      <c r="DB331" s="775"/>
      <c r="DC331" s="775"/>
      <c r="DD331" s="775" t="b">
        <f t="shared" si="556"/>
        <v>0</v>
      </c>
      <c r="DE331" s="775">
        <f t="shared" si="499"/>
        <v>23.919363579091488</v>
      </c>
      <c r="DF331" s="775">
        <v>71</v>
      </c>
      <c r="DG331" s="775">
        <f t="shared" si="557"/>
        <v>14.5</v>
      </c>
      <c r="DH331" s="673">
        <f t="shared" si="500"/>
        <v>38.419363579091488</v>
      </c>
      <c r="DI331" s="673">
        <f t="shared" si="501"/>
        <v>26</v>
      </c>
      <c r="DJ331" s="775" t="b">
        <f t="shared" si="502"/>
        <v>1</v>
      </c>
      <c r="DK331" s="673"/>
      <c r="DL331" s="775">
        <f t="shared" si="503"/>
        <v>38.419363579091488</v>
      </c>
      <c r="DM331" s="775">
        <f t="shared" si="504"/>
        <v>0.1317962633823361</v>
      </c>
      <c r="DN331" s="775">
        <f t="shared" si="505"/>
        <v>6.4730715203112268E-3</v>
      </c>
      <c r="DO331" s="775">
        <f t="shared" si="506"/>
        <v>8.4921576594186625</v>
      </c>
      <c r="DP331" s="775">
        <f t="shared" si="507"/>
        <v>4.4042465109111406</v>
      </c>
      <c r="DQ331" s="775">
        <f t="shared" si="508"/>
        <v>43.151666592507809</v>
      </c>
      <c r="DR331" s="775">
        <f t="shared" si="509"/>
        <v>91.663354501637357</v>
      </c>
      <c r="DS331" s="775">
        <f t="shared" si="510"/>
        <v>28.273620569782267</v>
      </c>
      <c r="DT331" s="775">
        <f t="shared" si="511"/>
        <v>44.17187233654132</v>
      </c>
      <c r="DU331" s="775">
        <f t="shared" si="512"/>
        <v>185.0419537887999</v>
      </c>
      <c r="DV331" s="775">
        <f t="shared" si="513"/>
        <v>26.73475010508519</v>
      </c>
      <c r="DW331" s="775">
        <f t="shared" si="514"/>
        <v>8.6132942684939913</v>
      </c>
      <c r="DX331" s="775">
        <f t="shared" si="515"/>
        <v>3.9151337584063595</v>
      </c>
      <c r="DY331" s="775">
        <f t="shared" si="516"/>
        <v>38.419363579091488</v>
      </c>
      <c r="DZ331" s="775">
        <f t="shared" si="517"/>
        <v>38.984771901621599</v>
      </c>
      <c r="EA331" s="775"/>
      <c r="EB331" s="775"/>
      <c r="EC331" s="775"/>
      <c r="ED331" s="775"/>
      <c r="EE331" s="775"/>
      <c r="EF331" s="775" t="b">
        <f t="shared" si="558"/>
        <v>0</v>
      </c>
      <c r="EG331" s="775">
        <f t="shared" si="518"/>
        <v>30.29093184253335</v>
      </c>
      <c r="EH331" s="775">
        <v>71</v>
      </c>
      <c r="EI331" s="775">
        <f t="shared" si="563"/>
        <v>35.5</v>
      </c>
      <c r="EJ331" s="673">
        <f t="shared" si="519"/>
        <v>5.2090681574666498</v>
      </c>
      <c r="EK331" s="673">
        <f t="shared" si="520"/>
        <v>2.2510196371999172</v>
      </c>
      <c r="EL331" s="775" t="b">
        <f t="shared" si="521"/>
        <v>0</v>
      </c>
      <c r="EM331" s="673"/>
      <c r="EN331" s="775">
        <f t="shared" si="522"/>
        <v>5.2090681574666498</v>
      </c>
      <c r="EO331" s="775">
        <f t="shared" si="523"/>
        <v>3.6366667966784227E-2</v>
      </c>
      <c r="EP331" s="775">
        <f t="shared" si="524"/>
        <v>2.4323464318635403E-3</v>
      </c>
      <c r="EQ331" s="775">
        <f t="shared" si="525"/>
        <v>5.258002401879331</v>
      </c>
      <c r="ER331" s="775">
        <f t="shared" si="526"/>
        <v>2.602037500922139</v>
      </c>
      <c r="ES331" s="775">
        <f t="shared" si="527"/>
        <v>4.5798801988387243</v>
      </c>
      <c r="ET331" s="775">
        <f t="shared" si="528"/>
        <v>9.0058277898889951</v>
      </c>
      <c r="EU331" s="775">
        <f t="shared" si="529"/>
        <v>2.4799087491731129</v>
      </c>
      <c r="EV331" s="775">
        <f t="shared" si="530"/>
        <v>3.5282636683542137</v>
      </c>
      <c r="EW331" s="775">
        <f t="shared" si="531"/>
        <v>45.458334958480286</v>
      </c>
      <c r="EX331" s="775">
        <f t="shared" si="532"/>
        <v>7.3690928027598606</v>
      </c>
      <c r="EY331" s="775">
        <f t="shared" si="559"/>
        <v>31.215397600815216</v>
      </c>
      <c r="EZ331" s="775">
        <f t="shared" si="533"/>
        <v>14.188817091279642</v>
      </c>
      <c r="FA331" s="775">
        <f t="shared" si="534"/>
        <v>5.2090681574666498</v>
      </c>
      <c r="FB331" s="775">
        <f t="shared" si="535"/>
        <v>3.7945256508820608</v>
      </c>
      <c r="FC331" s="775"/>
      <c r="FD331" s="775"/>
      <c r="FE331" s="775"/>
      <c r="FF331" s="775"/>
      <c r="FG331" s="775"/>
      <c r="FH331" s="775"/>
      <c r="FI331" s="775"/>
      <c r="FJ331" s="775"/>
      <c r="FK331" s="775" t="b">
        <f t="shared" si="560"/>
        <v>0</v>
      </c>
      <c r="FL331" s="775">
        <f t="shared" si="536"/>
        <v>24.484771901621599</v>
      </c>
      <c r="FM331" s="775">
        <v>71</v>
      </c>
      <c r="FN331" s="775">
        <f t="shared" si="561"/>
        <v>14.5</v>
      </c>
      <c r="FO331" s="673">
        <f t="shared" si="480"/>
        <v>38.984771901621599</v>
      </c>
      <c r="FP331" s="673">
        <f t="shared" si="537"/>
        <v>31.576723317281619</v>
      </c>
      <c r="FQ331" s="775" t="b">
        <f t="shared" si="538"/>
        <v>1</v>
      </c>
      <c r="FR331" s="673"/>
      <c r="FS331" s="775">
        <f t="shared" si="539"/>
        <v>38.984771901621599</v>
      </c>
      <c r="FT331" s="775">
        <f t="shared" si="540"/>
        <v>0.1317962633823361</v>
      </c>
      <c r="FU331" s="775">
        <f t="shared" si="541"/>
        <v>6.4730715203112268E-3</v>
      </c>
      <c r="FV331" s="775">
        <f t="shared" si="542"/>
        <v>8.4921576594186625</v>
      </c>
      <c r="FW331" s="775">
        <f t="shared" si="543"/>
        <v>4.4042465109111406</v>
      </c>
      <c r="FX331" s="775">
        <f t="shared" si="544"/>
        <v>52.407239871969367</v>
      </c>
      <c r="FY331" s="775">
        <f t="shared" si="545"/>
        <v>111.32416859354244</v>
      </c>
      <c r="FZ331" s="775">
        <f t="shared" si="546"/>
        <v>28.273620569782267</v>
      </c>
      <c r="GA331" s="775">
        <f t="shared" si="547"/>
        <v>44.17187233654132</v>
      </c>
      <c r="GB331" s="775">
        <f t="shared" si="548"/>
        <v>185.0419537887999</v>
      </c>
      <c r="GC331" s="775">
        <f t="shared" si="549"/>
        <v>26.73475010508519</v>
      </c>
      <c r="GD331" s="775">
        <f t="shared" si="550"/>
        <v>15.278264967018078</v>
      </c>
      <c r="GE331" s="775">
        <f t="shared" si="551"/>
        <v>6.9446658940991259</v>
      </c>
      <c r="GF331" s="775">
        <f t="shared" si="552"/>
        <v>43.194947511379681</v>
      </c>
      <c r="GG331" s="775">
        <f t="shared" si="553"/>
        <v>38.984771901621599</v>
      </c>
    </row>
    <row r="332" spans="70:189">
      <c r="BR332" s="775"/>
      <c r="BS332" s="775"/>
      <c r="BT332" s="775"/>
      <c r="BU332" s="775"/>
      <c r="BV332" s="775"/>
      <c r="BW332" s="775"/>
      <c r="BX332" s="775"/>
      <c r="BY332" s="775" t="b">
        <f t="shared" si="554"/>
        <v>0</v>
      </c>
      <c r="BZ332" s="775">
        <f t="shared" si="481"/>
        <v>30.770101534402642</v>
      </c>
      <c r="CA332" s="775">
        <v>72</v>
      </c>
      <c r="CB332" s="775">
        <f t="shared" si="562"/>
        <v>36</v>
      </c>
      <c r="CC332" s="673">
        <f t="shared" si="482"/>
        <v>5.2298984655973602</v>
      </c>
      <c r="CD332" s="91">
        <f t="shared" si="483"/>
        <v>2</v>
      </c>
      <c r="CE332" s="775" t="b">
        <f t="shared" si="484"/>
        <v>0</v>
      </c>
      <c r="CF332" s="673"/>
      <c r="CG332" s="775">
        <f t="shared" si="485"/>
        <v>5.2298984655973602</v>
      </c>
      <c r="CH332" s="775">
        <f t="shared" si="486"/>
        <v>3.5871608132687971E-2</v>
      </c>
      <c r="CI332" s="775">
        <f t="shared" si="487"/>
        <v>2.3992348742657198E-3</v>
      </c>
      <c r="CJ332" s="775">
        <f t="shared" si="488"/>
        <v>5.2623642656459664</v>
      </c>
      <c r="CK332" s="775">
        <f t="shared" si="489"/>
        <v>2.6030853796927333</v>
      </c>
      <c r="CL332" s="775">
        <f t="shared" si="490"/>
        <v>4.5956006691742157</v>
      </c>
      <c r="CM332" s="775">
        <f t="shared" si="491"/>
        <v>9.0367403558232287</v>
      </c>
      <c r="CN332" s="775">
        <f t="shared" si="492"/>
        <v>2.484408151904772</v>
      </c>
      <c r="CO332" s="775">
        <f t="shared" si="493"/>
        <v>3.5344977502029034</v>
      </c>
      <c r="CP332" s="775">
        <f t="shared" si="494"/>
        <v>44.839510165859963</v>
      </c>
      <c r="CQ332" s="775">
        <f t="shared" si="495"/>
        <v>7.2687772648143358</v>
      </c>
      <c r="CR332" s="775">
        <f t="shared" si="555"/>
        <v>31.646197622390673</v>
      </c>
      <c r="CS332" s="775">
        <f t="shared" si="496"/>
        <v>14.384635282904851</v>
      </c>
      <c r="CT332" s="775">
        <f t="shared" si="497"/>
        <v>5.2298984655973602</v>
      </c>
      <c r="CU332" s="775">
        <f t="shared" si="498"/>
        <v>3.8030355747196243</v>
      </c>
      <c r="CV332" s="775"/>
      <c r="CW332" s="775"/>
      <c r="CX332" s="775"/>
      <c r="CY332" s="775"/>
      <c r="CZ332" s="775"/>
      <c r="DA332" s="775"/>
      <c r="DB332" s="775"/>
      <c r="DC332" s="775"/>
      <c r="DD332" s="775" t="b">
        <f t="shared" si="556"/>
        <v>0</v>
      </c>
      <c r="DE332" s="775">
        <f t="shared" si="499"/>
        <v>24.189433036294105</v>
      </c>
      <c r="DF332" s="775">
        <v>72</v>
      </c>
      <c r="DG332" s="775">
        <f t="shared" si="557"/>
        <v>14</v>
      </c>
      <c r="DH332" s="673">
        <f t="shared" si="500"/>
        <v>38.189433036294105</v>
      </c>
      <c r="DI332" s="673">
        <f t="shared" si="501"/>
        <v>26</v>
      </c>
      <c r="DJ332" s="775" t="b">
        <f t="shared" si="502"/>
        <v>1</v>
      </c>
      <c r="DK332" s="673"/>
      <c r="DL332" s="775">
        <f t="shared" si="503"/>
        <v>38.189433036294105</v>
      </c>
      <c r="DM332" s="775">
        <f t="shared" si="504"/>
        <v>0.13692064653424171</v>
      </c>
      <c r="DN332" s="775">
        <f t="shared" si="505"/>
        <v>6.7247516346672503E-3</v>
      </c>
      <c r="DO332" s="775">
        <f t="shared" si="506"/>
        <v>8.446439364979037</v>
      </c>
      <c r="DP332" s="775">
        <f t="shared" si="507"/>
        <v>4.3920292811802764</v>
      </c>
      <c r="DQ332" s="775">
        <f t="shared" si="508"/>
        <v>42.74212525518525</v>
      </c>
      <c r="DR332" s="775">
        <f t="shared" si="509"/>
        <v>90.793401247211023</v>
      </c>
      <c r="DS332" s="775">
        <f t="shared" si="510"/>
        <v>28.106152333982475</v>
      </c>
      <c r="DT332" s="775">
        <f t="shared" si="511"/>
        <v>43.933867893535762</v>
      </c>
      <c r="DU332" s="775">
        <f t="shared" si="512"/>
        <v>192.23658773407536</v>
      </c>
      <c r="DV332" s="775">
        <f t="shared" si="513"/>
        <v>27.774226486987427</v>
      </c>
      <c r="DW332" s="775">
        <f t="shared" si="514"/>
        <v>8.2909336811822918</v>
      </c>
      <c r="DX332" s="775">
        <f t="shared" si="515"/>
        <v>3.7686062187192233</v>
      </c>
      <c r="DY332" s="775">
        <f t="shared" si="516"/>
        <v>38.189433036294105</v>
      </c>
      <c r="DZ332" s="775">
        <f t="shared" si="517"/>
        <v>38.853797986227988</v>
      </c>
      <c r="EA332" s="775"/>
      <c r="EB332" s="775"/>
      <c r="EC332" s="775"/>
      <c r="ED332" s="775"/>
      <c r="EE332" s="775"/>
      <c r="EF332" s="775" t="b">
        <f t="shared" si="558"/>
        <v>0</v>
      </c>
      <c r="EG332" s="775">
        <f t="shared" si="518"/>
        <v>30.770101534402642</v>
      </c>
      <c r="EH332" s="775">
        <v>72</v>
      </c>
      <c r="EI332" s="775">
        <f t="shared" si="563"/>
        <v>36</v>
      </c>
      <c r="EJ332" s="673">
        <f t="shared" si="519"/>
        <v>5.2298984655973602</v>
      </c>
      <c r="EK332" s="673">
        <f t="shared" si="520"/>
        <v>2.2510196371999172</v>
      </c>
      <c r="EL332" s="775" t="b">
        <f t="shared" si="521"/>
        <v>0</v>
      </c>
      <c r="EM332" s="673"/>
      <c r="EN332" s="775">
        <f t="shared" si="522"/>
        <v>5.2298984655973602</v>
      </c>
      <c r="EO332" s="775">
        <f t="shared" si="523"/>
        <v>3.5871608132687971E-2</v>
      </c>
      <c r="EP332" s="775">
        <f t="shared" si="524"/>
        <v>2.3992348742657198E-3</v>
      </c>
      <c r="EQ332" s="775">
        <f t="shared" si="525"/>
        <v>5.2623642656459664</v>
      </c>
      <c r="ER332" s="775">
        <f t="shared" si="526"/>
        <v>2.6030853796927333</v>
      </c>
      <c r="ES332" s="775">
        <f t="shared" si="527"/>
        <v>4.5956006691742157</v>
      </c>
      <c r="ET332" s="775">
        <f t="shared" si="528"/>
        <v>9.0367403558232287</v>
      </c>
      <c r="EU332" s="775">
        <f t="shared" si="529"/>
        <v>2.484408151904772</v>
      </c>
      <c r="EV332" s="775">
        <f t="shared" si="530"/>
        <v>3.5344977502029034</v>
      </c>
      <c r="EW332" s="775">
        <f t="shared" si="531"/>
        <v>44.839510165859963</v>
      </c>
      <c r="EX332" s="775">
        <f t="shared" si="532"/>
        <v>7.2687772648143358</v>
      </c>
      <c r="EY332" s="775">
        <f t="shared" si="559"/>
        <v>31.646197622390673</v>
      </c>
      <c r="EZ332" s="775">
        <f t="shared" si="533"/>
        <v>14.384635282904851</v>
      </c>
      <c r="FA332" s="775">
        <f t="shared" si="534"/>
        <v>5.2298984655973602</v>
      </c>
      <c r="FB332" s="775">
        <f t="shared" si="535"/>
        <v>3.8030355747196243</v>
      </c>
      <c r="FC332" s="775"/>
      <c r="FD332" s="775"/>
      <c r="FE332" s="775"/>
      <c r="FF332" s="775"/>
      <c r="FG332" s="775"/>
      <c r="FH332" s="775"/>
      <c r="FI332" s="775"/>
      <c r="FJ332" s="775"/>
      <c r="FK332" s="775" t="b">
        <f t="shared" si="560"/>
        <v>0</v>
      </c>
      <c r="FL332" s="775">
        <f t="shared" si="536"/>
        <v>24.853797986227988</v>
      </c>
      <c r="FM332" s="775">
        <v>72</v>
      </c>
      <c r="FN332" s="775">
        <f t="shared" si="561"/>
        <v>14</v>
      </c>
      <c r="FO332" s="673">
        <f t="shared" si="480"/>
        <v>38.853797986227988</v>
      </c>
      <c r="FP332" s="673">
        <f t="shared" si="537"/>
        <v>31.576723317281619</v>
      </c>
      <c r="FQ332" s="775" t="b">
        <f t="shared" si="538"/>
        <v>1</v>
      </c>
      <c r="FR332" s="673"/>
      <c r="FS332" s="775">
        <f t="shared" si="539"/>
        <v>38.853797986227988</v>
      </c>
      <c r="FT332" s="775">
        <f t="shared" si="540"/>
        <v>0.13692064653424171</v>
      </c>
      <c r="FU332" s="775">
        <f t="shared" si="541"/>
        <v>6.7247516346672503E-3</v>
      </c>
      <c r="FV332" s="775">
        <f t="shared" si="542"/>
        <v>8.446439364979037</v>
      </c>
      <c r="FW332" s="775">
        <f t="shared" si="543"/>
        <v>4.3920292811802764</v>
      </c>
      <c r="FX332" s="775">
        <f t="shared" si="544"/>
        <v>51.909856275983834</v>
      </c>
      <c r="FY332" s="775">
        <f t="shared" si="545"/>
        <v>110.26761962377363</v>
      </c>
      <c r="FZ332" s="775">
        <f t="shared" si="546"/>
        <v>28.106152333982475</v>
      </c>
      <c r="GA332" s="775">
        <f t="shared" si="547"/>
        <v>43.933867893535762</v>
      </c>
      <c r="GB332" s="775">
        <f t="shared" si="548"/>
        <v>192.23658773407536</v>
      </c>
      <c r="GC332" s="775">
        <f t="shared" si="549"/>
        <v>27.774226486987427</v>
      </c>
      <c r="GD332" s="775">
        <f t="shared" si="550"/>
        <v>14.706461622752116</v>
      </c>
      <c r="GE332" s="775">
        <f t="shared" si="551"/>
        <v>6.6847552830691432</v>
      </c>
      <c r="GF332" s="775">
        <f t="shared" si="552"/>
        <v>42.957224571917315</v>
      </c>
      <c r="GG332" s="775">
        <f t="shared" si="553"/>
        <v>38.853797986227988</v>
      </c>
    </row>
    <row r="333" spans="70:189">
      <c r="BR333" s="775"/>
      <c r="BS333" s="775"/>
      <c r="BT333" s="775"/>
      <c r="BU333" s="775"/>
      <c r="BV333" s="775"/>
      <c r="BW333" s="775"/>
      <c r="BX333" s="775"/>
      <c r="BY333" s="775" t="b">
        <f t="shared" si="554"/>
        <v>0</v>
      </c>
      <c r="BZ333" s="775">
        <f t="shared" si="481"/>
        <v>31.249497533734953</v>
      </c>
      <c r="CA333" s="775">
        <v>73</v>
      </c>
      <c r="CB333" s="775">
        <f t="shared" si="562"/>
        <v>36.5</v>
      </c>
      <c r="CC333" s="673">
        <f t="shared" si="482"/>
        <v>5.2505024662650479</v>
      </c>
      <c r="CD333" s="91">
        <f t="shared" si="483"/>
        <v>2</v>
      </c>
      <c r="CE333" s="775" t="b">
        <f t="shared" si="484"/>
        <v>0</v>
      </c>
      <c r="CF333" s="673"/>
      <c r="CG333" s="775">
        <f t="shared" si="485"/>
        <v>5.2505024662650479</v>
      </c>
      <c r="CH333" s="775">
        <f t="shared" si="486"/>
        <v>3.538997780123531E-2</v>
      </c>
      <c r="CI333" s="775">
        <f t="shared" si="487"/>
        <v>2.3670215348622825E-3</v>
      </c>
      <c r="CJ333" s="775">
        <f t="shared" si="488"/>
        <v>5.2666168453547542</v>
      </c>
      <c r="CK333" s="775">
        <f t="shared" si="489"/>
        <v>2.6041060485230063</v>
      </c>
      <c r="CL333" s="775">
        <f t="shared" si="490"/>
        <v>4.6111571469726895</v>
      </c>
      <c r="CM333" s="775">
        <f t="shared" si="491"/>
        <v>9.0673304485740864</v>
      </c>
      <c r="CN333" s="775">
        <f t="shared" si="492"/>
        <v>2.488852706389836</v>
      </c>
      <c r="CO333" s="775">
        <f t="shared" si="493"/>
        <v>3.5406560315541036</v>
      </c>
      <c r="CP333" s="775">
        <f t="shared" si="494"/>
        <v>44.237472251544141</v>
      </c>
      <c r="CQ333" s="775">
        <f t="shared" si="495"/>
        <v>7.1711829894097185</v>
      </c>
      <c r="CR333" s="775">
        <f t="shared" si="555"/>
        <v>32.076877990027306</v>
      </c>
      <c r="CS333" s="775">
        <f t="shared" si="496"/>
        <v>14.580399086376048</v>
      </c>
      <c r="CT333" s="775">
        <f t="shared" si="497"/>
        <v>5.2505024662650479</v>
      </c>
      <c r="CU333" s="775">
        <f t="shared" si="498"/>
        <v>3.8114405479621092</v>
      </c>
      <c r="CV333" s="775"/>
      <c r="CW333" s="775"/>
      <c r="CX333" s="775"/>
      <c r="CY333" s="775"/>
      <c r="CZ333" s="775"/>
      <c r="DA333" s="775"/>
      <c r="DB333" s="775"/>
      <c r="DC333" s="775"/>
      <c r="DD333" s="775" t="b">
        <f t="shared" si="556"/>
        <v>0</v>
      </c>
      <c r="DE333" s="775">
        <f t="shared" si="499"/>
        <v>24.45164963047251</v>
      </c>
      <c r="DF333" s="775">
        <v>73</v>
      </c>
      <c r="DG333" s="775">
        <f t="shared" si="557"/>
        <v>13.5</v>
      </c>
      <c r="DH333" s="673">
        <f t="shared" si="500"/>
        <v>37.95164963047251</v>
      </c>
      <c r="DI333" s="673">
        <f t="shared" si="501"/>
        <v>26</v>
      </c>
      <c r="DJ333" s="775" t="b">
        <f t="shared" si="502"/>
        <v>1</v>
      </c>
      <c r="DK333" s="673"/>
      <c r="DL333" s="775">
        <f t="shared" si="503"/>
        <v>37.95164963047251</v>
      </c>
      <c r="DM333" s="775">
        <f t="shared" si="504"/>
        <v>0.14244175294015762</v>
      </c>
      <c r="DN333" s="775">
        <f t="shared" si="505"/>
        <v>6.9959165047445296E-3</v>
      </c>
      <c r="DO333" s="775">
        <f t="shared" si="506"/>
        <v>8.3978912596515549</v>
      </c>
      <c r="DP333" s="775">
        <f t="shared" si="507"/>
        <v>4.378979323164641</v>
      </c>
      <c r="DQ333" s="775">
        <f t="shared" si="508"/>
        <v>42.321789285293789</v>
      </c>
      <c r="DR333" s="775">
        <f t="shared" si="509"/>
        <v>89.900517888109405</v>
      </c>
      <c r="DS333" s="775">
        <f t="shared" si="510"/>
        <v>27.93339048636118</v>
      </c>
      <c r="DT333" s="775">
        <f t="shared" si="511"/>
        <v>43.688317249814006</v>
      </c>
      <c r="DU333" s="775">
        <f t="shared" si="512"/>
        <v>199.98822112798129</v>
      </c>
      <c r="DV333" s="775">
        <f t="shared" si="513"/>
        <v>28.894177813965104</v>
      </c>
      <c r="DW333" s="775">
        <f t="shared" si="514"/>
        <v>7.9695733629234278</v>
      </c>
      <c r="DX333" s="775">
        <f t="shared" si="515"/>
        <v>3.622533346783376</v>
      </c>
      <c r="DY333" s="775">
        <f t="shared" si="516"/>
        <v>37.95164963047251</v>
      </c>
      <c r="DZ333" s="775">
        <f t="shared" si="517"/>
        <v>38.718080770256364</v>
      </c>
      <c r="EA333" s="775"/>
      <c r="EB333" s="775"/>
      <c r="EC333" s="775"/>
      <c r="ED333" s="775"/>
      <c r="EE333" s="775"/>
      <c r="EF333" s="775" t="b">
        <f t="shared" si="558"/>
        <v>0</v>
      </c>
      <c r="EG333" s="775">
        <f t="shared" si="518"/>
        <v>31.249497533734953</v>
      </c>
      <c r="EH333" s="775">
        <v>73</v>
      </c>
      <c r="EI333" s="775">
        <f t="shared" si="563"/>
        <v>36.5</v>
      </c>
      <c r="EJ333" s="673">
        <f t="shared" si="519"/>
        <v>5.2505024662650479</v>
      </c>
      <c r="EK333" s="673">
        <f t="shared" si="520"/>
        <v>2.2510196371999172</v>
      </c>
      <c r="EL333" s="775" t="b">
        <f t="shared" si="521"/>
        <v>0</v>
      </c>
      <c r="EM333" s="673"/>
      <c r="EN333" s="775">
        <f t="shared" si="522"/>
        <v>5.2505024662650479</v>
      </c>
      <c r="EO333" s="775">
        <f t="shared" si="523"/>
        <v>3.538997780123531E-2</v>
      </c>
      <c r="EP333" s="775">
        <f t="shared" si="524"/>
        <v>2.3670215348622825E-3</v>
      </c>
      <c r="EQ333" s="775">
        <f t="shared" si="525"/>
        <v>5.2666168453547542</v>
      </c>
      <c r="ER333" s="775">
        <f t="shared" si="526"/>
        <v>2.6041060485230063</v>
      </c>
      <c r="ES333" s="775">
        <f t="shared" si="527"/>
        <v>4.6111571469726895</v>
      </c>
      <c r="ET333" s="775">
        <f t="shared" si="528"/>
        <v>9.0673304485740864</v>
      </c>
      <c r="EU333" s="775">
        <f t="shared" si="529"/>
        <v>2.488852706389836</v>
      </c>
      <c r="EV333" s="775">
        <f t="shared" si="530"/>
        <v>3.5406560315541036</v>
      </c>
      <c r="EW333" s="775">
        <f t="shared" si="531"/>
        <v>44.237472251544141</v>
      </c>
      <c r="EX333" s="775">
        <f t="shared" si="532"/>
        <v>7.1711829894097185</v>
      </c>
      <c r="EY333" s="775">
        <f t="shared" si="559"/>
        <v>32.076877990027306</v>
      </c>
      <c r="EZ333" s="775">
        <f t="shared" si="533"/>
        <v>14.580399086376048</v>
      </c>
      <c r="FA333" s="775">
        <f t="shared" si="534"/>
        <v>5.2505024662650479</v>
      </c>
      <c r="FB333" s="775">
        <f t="shared" si="535"/>
        <v>3.8114405479621092</v>
      </c>
      <c r="FC333" s="775"/>
      <c r="FD333" s="775"/>
      <c r="FE333" s="775"/>
      <c r="FF333" s="775"/>
      <c r="FG333" s="775"/>
      <c r="FH333" s="775"/>
      <c r="FI333" s="775"/>
      <c r="FJ333" s="775"/>
      <c r="FK333" s="775" t="b">
        <f t="shared" si="560"/>
        <v>0</v>
      </c>
      <c r="FL333" s="775">
        <f t="shared" si="536"/>
        <v>25.218080770256364</v>
      </c>
      <c r="FM333" s="775">
        <v>73</v>
      </c>
      <c r="FN333" s="775">
        <f t="shared" si="561"/>
        <v>13.5</v>
      </c>
      <c r="FO333" s="673">
        <f t="shared" si="480"/>
        <v>38.718080770256364</v>
      </c>
      <c r="FP333" s="673">
        <f t="shared" si="537"/>
        <v>31.576723317281619</v>
      </c>
      <c r="FQ333" s="775" t="b">
        <f t="shared" si="538"/>
        <v>1</v>
      </c>
      <c r="FR333" s="673"/>
      <c r="FS333" s="775">
        <f t="shared" si="539"/>
        <v>38.718080770256364</v>
      </c>
      <c r="FT333" s="775">
        <f t="shared" si="540"/>
        <v>0.14244175294015762</v>
      </c>
      <c r="FU333" s="775">
        <f t="shared" si="541"/>
        <v>6.9959165047445296E-3</v>
      </c>
      <c r="FV333" s="775">
        <f t="shared" si="542"/>
        <v>8.3978912596515549</v>
      </c>
      <c r="FW333" s="775">
        <f t="shared" si="543"/>
        <v>4.378979323164641</v>
      </c>
      <c r="FX333" s="775">
        <f t="shared" si="544"/>
        <v>51.399362713615993</v>
      </c>
      <c r="FY333" s="775">
        <f t="shared" si="545"/>
        <v>109.18322228589068</v>
      </c>
      <c r="FZ333" s="775">
        <f t="shared" si="546"/>
        <v>27.93339048636118</v>
      </c>
      <c r="GA333" s="775">
        <f t="shared" si="547"/>
        <v>43.688317249814006</v>
      </c>
      <c r="GB333" s="775">
        <f t="shared" si="548"/>
        <v>199.98822112798129</v>
      </c>
      <c r="GC333" s="775">
        <f t="shared" si="549"/>
        <v>28.894177813965104</v>
      </c>
      <c r="GD333" s="775">
        <f t="shared" si="550"/>
        <v>14.136432556149398</v>
      </c>
      <c r="GE333" s="775">
        <f t="shared" si="551"/>
        <v>6.4256511618860896</v>
      </c>
      <c r="GF333" s="775">
        <f t="shared" si="552"/>
        <v>42.71115779345385</v>
      </c>
      <c r="GG333" s="775">
        <f t="shared" si="553"/>
        <v>38.718080770256364</v>
      </c>
    </row>
    <row r="334" spans="70:189">
      <c r="BR334" s="775"/>
      <c r="BS334" s="775"/>
      <c r="BT334" s="775"/>
      <c r="BU334" s="775"/>
      <c r="BV334" s="775"/>
      <c r="BW334" s="775"/>
      <c r="BX334" s="775"/>
      <c r="BY334" s="775" t="b">
        <f t="shared" si="554"/>
        <v>0</v>
      </c>
      <c r="BZ334" s="775">
        <f t="shared" si="481"/>
        <v>31.729114359489692</v>
      </c>
      <c r="CA334" s="775">
        <v>74</v>
      </c>
      <c r="CB334" s="775">
        <f t="shared" si="562"/>
        <v>37</v>
      </c>
      <c r="CC334" s="673">
        <f t="shared" si="482"/>
        <v>5.2708856405103077</v>
      </c>
      <c r="CD334" s="91">
        <f t="shared" si="483"/>
        <v>2</v>
      </c>
      <c r="CE334" s="775" t="b">
        <f t="shared" si="484"/>
        <v>0</v>
      </c>
      <c r="CF334" s="673"/>
      <c r="CG334" s="775">
        <f t="shared" si="485"/>
        <v>5.2708856405103077</v>
      </c>
      <c r="CH334" s="775">
        <f t="shared" si="486"/>
        <v>3.4921236088963997E-2</v>
      </c>
      <c r="CI334" s="775">
        <f t="shared" si="487"/>
        <v>2.3356702372303384E-3</v>
      </c>
      <c r="CJ334" s="775">
        <f t="shared" si="488"/>
        <v>5.2707642147857108</v>
      </c>
      <c r="CK334" s="775">
        <f t="shared" si="489"/>
        <v>2.6051005575823925</v>
      </c>
      <c r="CL334" s="775">
        <f t="shared" si="490"/>
        <v>4.6265535547222223</v>
      </c>
      <c r="CM334" s="775">
        <f t="shared" si="491"/>
        <v>9.0976057812804658</v>
      </c>
      <c r="CN334" s="775">
        <f t="shared" si="492"/>
        <v>2.4932438197882263</v>
      </c>
      <c r="CO334" s="775">
        <f t="shared" si="493"/>
        <v>3.5467404545019789</v>
      </c>
      <c r="CP334" s="775">
        <f t="shared" si="494"/>
        <v>43.651545111204996</v>
      </c>
      <c r="CQ334" s="775">
        <f t="shared" si="495"/>
        <v>7.0762003756215428</v>
      </c>
      <c r="CR334" s="775">
        <f t="shared" si="555"/>
        <v>32.507440375478353</v>
      </c>
      <c r="CS334" s="775">
        <f t="shared" si="496"/>
        <v>14.776109261581068</v>
      </c>
      <c r="CT334" s="775">
        <f t="shared" si="497"/>
        <v>5.2708856405103077</v>
      </c>
      <c r="CU334" s="775">
        <f t="shared" si="498"/>
        <v>3.8197432751600595</v>
      </c>
      <c r="CV334" s="775"/>
      <c r="CW334" s="775"/>
      <c r="CX334" s="775"/>
      <c r="CY334" s="775"/>
      <c r="CZ334" s="775"/>
      <c r="DA334" s="775"/>
      <c r="DB334" s="775"/>
      <c r="DC334" s="775"/>
      <c r="DD334" s="775" t="b">
        <f t="shared" si="556"/>
        <v>0</v>
      </c>
      <c r="DE334" s="775">
        <f t="shared" si="499"/>
        <v>24.705450560475285</v>
      </c>
      <c r="DF334" s="775">
        <v>74</v>
      </c>
      <c r="DG334" s="775">
        <f t="shared" si="557"/>
        <v>13</v>
      </c>
      <c r="DH334" s="673">
        <f t="shared" si="500"/>
        <v>37.705450560475285</v>
      </c>
      <c r="DI334" s="673">
        <f t="shared" si="501"/>
        <v>26</v>
      </c>
      <c r="DJ334" s="775" t="b">
        <f t="shared" si="502"/>
        <v>1</v>
      </c>
      <c r="DK334" s="673"/>
      <c r="DL334" s="775">
        <f t="shared" si="503"/>
        <v>37.705450560475285</v>
      </c>
      <c r="DM334" s="775">
        <f t="shared" si="504"/>
        <v>0.14840676283618628</v>
      </c>
      <c r="DN334" s="775">
        <f t="shared" si="505"/>
        <v>7.2888833513412802E-3</v>
      </c>
      <c r="DO334" s="775">
        <f t="shared" si="506"/>
        <v>8.3462472384779325</v>
      </c>
      <c r="DP334" s="775">
        <f t="shared" si="507"/>
        <v>4.3650100399480323</v>
      </c>
      <c r="DQ334" s="775">
        <f t="shared" si="508"/>
        <v>41.88995800388178</v>
      </c>
      <c r="DR334" s="775">
        <f t="shared" si="509"/>
        <v>88.983216032615445</v>
      </c>
      <c r="DS334" s="775">
        <f t="shared" si="510"/>
        <v>27.754962739698549</v>
      </c>
      <c r="DT334" s="775">
        <f t="shared" si="511"/>
        <v>43.434687751485988</v>
      </c>
      <c r="DU334" s="775">
        <f t="shared" si="512"/>
        <v>208.36309502200555</v>
      </c>
      <c r="DV334" s="775">
        <f t="shared" si="513"/>
        <v>30.104174553266137</v>
      </c>
      <c r="DW334" s="775">
        <f t="shared" si="514"/>
        <v>7.6492470983485541</v>
      </c>
      <c r="DX334" s="775">
        <f t="shared" si="515"/>
        <v>3.4769304992493426</v>
      </c>
      <c r="DY334" s="775">
        <f t="shared" si="516"/>
        <v>37.705450560475285</v>
      </c>
      <c r="DZ334" s="775">
        <f t="shared" si="517"/>
        <v>38.577264351140798</v>
      </c>
      <c r="EA334" s="775"/>
      <c r="EB334" s="775"/>
      <c r="EC334" s="775"/>
      <c r="ED334" s="775"/>
      <c r="EE334" s="775"/>
      <c r="EF334" s="775" t="b">
        <f t="shared" si="558"/>
        <v>0</v>
      </c>
      <c r="EG334" s="775">
        <f t="shared" si="518"/>
        <v>31.729114359489692</v>
      </c>
      <c r="EH334" s="775">
        <v>74</v>
      </c>
      <c r="EI334" s="775">
        <f t="shared" si="563"/>
        <v>37</v>
      </c>
      <c r="EJ334" s="673">
        <f t="shared" si="519"/>
        <v>5.2708856405103077</v>
      </c>
      <c r="EK334" s="673">
        <f t="shared" si="520"/>
        <v>2.2510196371999172</v>
      </c>
      <c r="EL334" s="775" t="b">
        <f t="shared" si="521"/>
        <v>0</v>
      </c>
      <c r="EM334" s="673"/>
      <c r="EN334" s="775">
        <f t="shared" si="522"/>
        <v>5.2708856405103077</v>
      </c>
      <c r="EO334" s="775">
        <f t="shared" si="523"/>
        <v>3.4921236088963997E-2</v>
      </c>
      <c r="EP334" s="775">
        <f t="shared" si="524"/>
        <v>2.3356702372303384E-3</v>
      </c>
      <c r="EQ334" s="775">
        <f t="shared" si="525"/>
        <v>5.2707642147857108</v>
      </c>
      <c r="ER334" s="775">
        <f t="shared" si="526"/>
        <v>2.6051005575823925</v>
      </c>
      <c r="ES334" s="775">
        <f t="shared" si="527"/>
        <v>4.6265535547222223</v>
      </c>
      <c r="ET334" s="775">
        <f t="shared" si="528"/>
        <v>9.0976057812804658</v>
      </c>
      <c r="EU334" s="775">
        <f t="shared" si="529"/>
        <v>2.4932438197882263</v>
      </c>
      <c r="EV334" s="775">
        <f t="shared" si="530"/>
        <v>3.5467404545019789</v>
      </c>
      <c r="EW334" s="775">
        <f t="shared" si="531"/>
        <v>43.651545111204996</v>
      </c>
      <c r="EX334" s="775">
        <f t="shared" si="532"/>
        <v>7.0762003756215428</v>
      </c>
      <c r="EY334" s="775">
        <f t="shared" si="559"/>
        <v>32.507440375478353</v>
      </c>
      <c r="EZ334" s="775">
        <f t="shared" si="533"/>
        <v>14.776109261581068</v>
      </c>
      <c r="FA334" s="775">
        <f t="shared" si="534"/>
        <v>5.2708856405103077</v>
      </c>
      <c r="FB334" s="775">
        <f t="shared" si="535"/>
        <v>3.8197432751600595</v>
      </c>
      <c r="FC334" s="775"/>
      <c r="FD334" s="775"/>
      <c r="FE334" s="775"/>
      <c r="FF334" s="775"/>
      <c r="FG334" s="775"/>
      <c r="FH334" s="775"/>
      <c r="FI334" s="775"/>
      <c r="FJ334" s="775"/>
      <c r="FK334" s="775" t="b">
        <f t="shared" si="560"/>
        <v>0</v>
      </c>
      <c r="FL334" s="775">
        <f t="shared" si="536"/>
        <v>25.577264351140798</v>
      </c>
      <c r="FM334" s="775">
        <v>74</v>
      </c>
      <c r="FN334" s="775">
        <f t="shared" si="561"/>
        <v>13</v>
      </c>
      <c r="FO334" s="673">
        <f t="shared" si="480"/>
        <v>38.577264351140798</v>
      </c>
      <c r="FP334" s="673">
        <f t="shared" si="537"/>
        <v>31.576723317281619</v>
      </c>
      <c r="FQ334" s="775" t="b">
        <f t="shared" si="538"/>
        <v>1</v>
      </c>
      <c r="FR334" s="673"/>
      <c r="FS334" s="775">
        <f t="shared" si="539"/>
        <v>38.577264351140798</v>
      </c>
      <c r="FT334" s="775">
        <f t="shared" si="540"/>
        <v>0.14840676283618628</v>
      </c>
      <c r="FU334" s="775">
        <f t="shared" si="541"/>
        <v>7.2888833513412802E-3</v>
      </c>
      <c r="FV334" s="775">
        <f t="shared" si="542"/>
        <v>8.3462472384779325</v>
      </c>
      <c r="FW334" s="775">
        <f t="shared" si="543"/>
        <v>4.3650100399480323</v>
      </c>
      <c r="FX334" s="775">
        <f t="shared" si="544"/>
        <v>50.874908217735445</v>
      </c>
      <c r="FY334" s="775">
        <f t="shared" si="545"/>
        <v>108.06916894399215</v>
      </c>
      <c r="FZ334" s="775">
        <f t="shared" si="546"/>
        <v>27.754962739698549</v>
      </c>
      <c r="GA334" s="775">
        <f t="shared" si="547"/>
        <v>43.434687751485988</v>
      </c>
      <c r="GB334" s="775">
        <f t="shared" si="548"/>
        <v>208.36309502200555</v>
      </c>
      <c r="GC334" s="775">
        <f t="shared" si="549"/>
        <v>30.104174553266137</v>
      </c>
      <c r="GD334" s="775">
        <f t="shared" si="550"/>
        <v>13.568237694402759</v>
      </c>
      <c r="GE334" s="775">
        <f t="shared" si="551"/>
        <v>6.1673807701830716</v>
      </c>
      <c r="GF334" s="775">
        <f t="shared" si="552"/>
        <v>42.456140952301787</v>
      </c>
      <c r="GG334" s="775">
        <f t="shared" si="553"/>
        <v>38.577264351140798</v>
      </c>
    </row>
    <row r="335" spans="70:189">
      <c r="BR335" s="775"/>
      <c r="BS335" s="775"/>
      <c r="BT335" s="775"/>
      <c r="BU335" s="775"/>
      <c r="BV335" s="775"/>
      <c r="BW335" s="775"/>
      <c r="BX335" s="775"/>
      <c r="BY335" s="775" t="b">
        <f t="shared" si="554"/>
        <v>0</v>
      </c>
      <c r="BZ335" s="775">
        <f t="shared" si="481"/>
        <v>32.20894673506281</v>
      </c>
      <c r="CA335" s="775">
        <v>75</v>
      </c>
      <c r="CB335" s="775">
        <f t="shared" si="562"/>
        <v>37.5</v>
      </c>
      <c r="CC335" s="673">
        <f t="shared" si="482"/>
        <v>5.2910532649371929</v>
      </c>
      <c r="CD335" s="91">
        <f t="shared" si="483"/>
        <v>2</v>
      </c>
      <c r="CE335" s="775" t="b">
        <f t="shared" si="484"/>
        <v>0</v>
      </c>
      <c r="CF335" s="673"/>
      <c r="CG335" s="775">
        <f t="shared" si="485"/>
        <v>5.2910532649371929</v>
      </c>
      <c r="CH335" s="775">
        <f t="shared" si="486"/>
        <v>3.4464870819165272E-2</v>
      </c>
      <c r="CI335" s="775">
        <f t="shared" si="487"/>
        <v>2.305146724968087E-3</v>
      </c>
      <c r="CJ335" s="775">
        <f t="shared" si="488"/>
        <v>5.274810247220608</v>
      </c>
      <c r="CK335" s="775">
        <f t="shared" si="489"/>
        <v>2.6060699035769241</v>
      </c>
      <c r="CL335" s="775">
        <f t="shared" si="490"/>
        <v>4.6417936696084743</v>
      </c>
      <c r="CM335" s="775">
        <f t="shared" si="491"/>
        <v>9.1275737813601427</v>
      </c>
      <c r="CN335" s="775">
        <f t="shared" si="492"/>
        <v>2.4975828447290995</v>
      </c>
      <c r="CO335" s="775">
        <f t="shared" si="493"/>
        <v>3.5527528859481001</v>
      </c>
      <c r="CP335" s="775">
        <f t="shared" si="494"/>
        <v>43.081088523956588</v>
      </c>
      <c r="CQ335" s="775">
        <f t="shared" si="495"/>
        <v>6.9837256394654847</v>
      </c>
      <c r="CR335" s="775">
        <f t="shared" si="555"/>
        <v>32.937886404864642</v>
      </c>
      <c r="CS335" s="775">
        <f t="shared" si="496"/>
        <v>14.971766547665744</v>
      </c>
      <c r="CT335" s="775">
        <f t="shared" si="497"/>
        <v>5.2910532649371929</v>
      </c>
      <c r="CU335" s="775">
        <f t="shared" si="498"/>
        <v>3.8279463557806581</v>
      </c>
      <c r="CV335" s="775"/>
      <c r="CW335" s="775"/>
      <c r="CX335" s="775"/>
      <c r="CY335" s="775"/>
      <c r="CZ335" s="775"/>
      <c r="DA335" s="775"/>
      <c r="DB335" s="775"/>
      <c r="DC335" s="775"/>
      <c r="DD335" s="775" t="b">
        <f t="shared" si="556"/>
        <v>0</v>
      </c>
      <c r="DE335" s="775">
        <f t="shared" si="499"/>
        <v>24.950209498225611</v>
      </c>
      <c r="DF335" s="775">
        <v>75</v>
      </c>
      <c r="DG335" s="775">
        <f t="shared" si="557"/>
        <v>12.5</v>
      </c>
      <c r="DH335" s="673">
        <f t="shared" si="500"/>
        <v>37.450209498225611</v>
      </c>
      <c r="DI335" s="673">
        <f t="shared" si="501"/>
        <v>26</v>
      </c>
      <c r="DJ335" s="775" t="b">
        <f t="shared" si="502"/>
        <v>1</v>
      </c>
      <c r="DK335" s="673"/>
      <c r="DL335" s="775">
        <f t="shared" si="503"/>
        <v>37.450209498225611</v>
      </c>
      <c r="DM335" s="775">
        <f t="shared" si="504"/>
        <v>0.15487058250384966</v>
      </c>
      <c r="DN335" s="775">
        <f t="shared" si="505"/>
        <v>7.6063488539997353E-3</v>
      </c>
      <c r="DO335" s="775">
        <f t="shared" si="506"/>
        <v>8.2912070741901953</v>
      </c>
      <c r="DP335" s="775">
        <f t="shared" si="507"/>
        <v>4.3500225117733011</v>
      </c>
      <c r="DQ335" s="775">
        <f t="shared" si="508"/>
        <v>41.445856120895172</v>
      </c>
      <c r="DR335" s="775">
        <f t="shared" si="509"/>
        <v>88.039848799097868</v>
      </c>
      <c r="DS335" s="775">
        <f t="shared" si="510"/>
        <v>27.570455070641078</v>
      </c>
      <c r="DT335" s="775">
        <f t="shared" si="511"/>
        <v>43.172386825534531</v>
      </c>
      <c r="DU335" s="775">
        <f t="shared" si="512"/>
        <v>217.43829783540494</v>
      </c>
      <c r="DV335" s="775">
        <f t="shared" si="513"/>
        <v>31.415354393304575</v>
      </c>
      <c r="DW335" s="775">
        <f t="shared" si="514"/>
        <v>7.3299911554977326</v>
      </c>
      <c r="DX335" s="775">
        <f t="shared" si="515"/>
        <v>3.331814161589878</v>
      </c>
      <c r="DY335" s="775">
        <f t="shared" si="516"/>
        <v>37.450209498225611</v>
      </c>
      <c r="DZ335" s="775">
        <f t="shared" si="517"/>
        <v>38.430951173161276</v>
      </c>
      <c r="EA335" s="775"/>
      <c r="EB335" s="775"/>
      <c r="EC335" s="775"/>
      <c r="ED335" s="775"/>
      <c r="EE335" s="775"/>
      <c r="EF335" s="775" t="b">
        <f t="shared" si="558"/>
        <v>0</v>
      </c>
      <c r="EG335" s="775">
        <f t="shared" si="518"/>
        <v>32.20894673506281</v>
      </c>
      <c r="EH335" s="775">
        <v>75</v>
      </c>
      <c r="EI335" s="775">
        <f t="shared" si="563"/>
        <v>37.5</v>
      </c>
      <c r="EJ335" s="673">
        <f t="shared" si="519"/>
        <v>5.2910532649371929</v>
      </c>
      <c r="EK335" s="673">
        <f t="shared" si="520"/>
        <v>2.2510196371999172</v>
      </c>
      <c r="EL335" s="775" t="b">
        <f t="shared" si="521"/>
        <v>0</v>
      </c>
      <c r="EM335" s="673"/>
      <c r="EN335" s="775">
        <f t="shared" si="522"/>
        <v>5.2910532649371929</v>
      </c>
      <c r="EO335" s="775">
        <f t="shared" si="523"/>
        <v>3.4464870819165272E-2</v>
      </c>
      <c r="EP335" s="775">
        <f t="shared" si="524"/>
        <v>2.305146724968087E-3</v>
      </c>
      <c r="EQ335" s="775">
        <f t="shared" si="525"/>
        <v>5.274810247220608</v>
      </c>
      <c r="ER335" s="775">
        <f t="shared" si="526"/>
        <v>2.6060699035769241</v>
      </c>
      <c r="ES335" s="775">
        <f t="shared" si="527"/>
        <v>4.6417936696084743</v>
      </c>
      <c r="ET335" s="775">
        <f t="shared" si="528"/>
        <v>9.1275737813601427</v>
      </c>
      <c r="EU335" s="775">
        <f t="shared" si="529"/>
        <v>2.4975828447290995</v>
      </c>
      <c r="EV335" s="775">
        <f t="shared" si="530"/>
        <v>3.5527528859481001</v>
      </c>
      <c r="EW335" s="775">
        <f t="shared" si="531"/>
        <v>43.081088523956588</v>
      </c>
      <c r="EX335" s="775">
        <f t="shared" si="532"/>
        <v>6.9837256394654847</v>
      </c>
      <c r="EY335" s="775">
        <f t="shared" si="559"/>
        <v>32.937886404864642</v>
      </c>
      <c r="EZ335" s="775">
        <f t="shared" si="533"/>
        <v>14.971766547665744</v>
      </c>
      <c r="FA335" s="775">
        <f t="shared" si="534"/>
        <v>5.2910532649371929</v>
      </c>
      <c r="FB335" s="775">
        <f t="shared" si="535"/>
        <v>3.8279463557806581</v>
      </c>
      <c r="FC335" s="775"/>
      <c r="FD335" s="775"/>
      <c r="FE335" s="775"/>
      <c r="FF335" s="775"/>
      <c r="FG335" s="775"/>
      <c r="FH335" s="775"/>
      <c r="FI335" s="775"/>
      <c r="FJ335" s="775"/>
      <c r="FK335" s="775" t="b">
        <f t="shared" si="560"/>
        <v>0</v>
      </c>
      <c r="FL335" s="775">
        <f t="shared" si="536"/>
        <v>25.930951173161276</v>
      </c>
      <c r="FM335" s="775">
        <v>75</v>
      </c>
      <c r="FN335" s="775">
        <f t="shared" si="561"/>
        <v>12.5</v>
      </c>
      <c r="FO335" s="673">
        <f t="shared" si="480"/>
        <v>38.430951173161276</v>
      </c>
      <c r="FP335" s="673">
        <f t="shared" si="537"/>
        <v>31.576723317281619</v>
      </c>
      <c r="FQ335" s="775" t="b">
        <f t="shared" si="538"/>
        <v>1</v>
      </c>
      <c r="FR335" s="673"/>
      <c r="FS335" s="775">
        <f t="shared" si="539"/>
        <v>38.430951173161276</v>
      </c>
      <c r="FT335" s="775">
        <f t="shared" si="540"/>
        <v>0.15487058250384966</v>
      </c>
      <c r="FU335" s="775">
        <f t="shared" si="541"/>
        <v>7.6063488539997353E-3</v>
      </c>
      <c r="FV335" s="775">
        <f t="shared" si="542"/>
        <v>8.2912070741901953</v>
      </c>
      <c r="FW335" s="775">
        <f t="shared" si="543"/>
        <v>4.3500225117733011</v>
      </c>
      <c r="FX335" s="775">
        <f t="shared" si="544"/>
        <v>50.335551206821911</v>
      </c>
      <c r="FY335" s="775">
        <f t="shared" si="545"/>
        <v>106.92345947786238</v>
      </c>
      <c r="FZ335" s="775">
        <f t="shared" si="546"/>
        <v>27.570455070641078</v>
      </c>
      <c r="GA335" s="775">
        <f t="shared" si="547"/>
        <v>43.172386825534531</v>
      </c>
      <c r="GB335" s="775">
        <f t="shared" si="548"/>
        <v>217.43829783540494</v>
      </c>
      <c r="GC335" s="775">
        <f t="shared" si="549"/>
        <v>31.415354393304575</v>
      </c>
      <c r="GD335" s="775">
        <f t="shared" si="550"/>
        <v>13.001941369776796</v>
      </c>
      <c r="GE335" s="775">
        <f t="shared" si="551"/>
        <v>5.9099733498985429</v>
      </c>
      <c r="GF335" s="775">
        <f t="shared" si="552"/>
        <v>42.191498786662329</v>
      </c>
      <c r="GG335" s="775">
        <f t="shared" si="553"/>
        <v>38.430951173161276</v>
      </c>
    </row>
    <row r="336" spans="70:189">
      <c r="BR336" s="775"/>
      <c r="BS336" s="775"/>
      <c r="BT336" s="775"/>
      <c r="BU336" s="775"/>
      <c r="BV336" s="775"/>
      <c r="BW336" s="775"/>
      <c r="BX336" s="775"/>
      <c r="BY336" s="775" t="b">
        <f t="shared" si="554"/>
        <v>0</v>
      </c>
      <c r="BZ336" s="775">
        <f t="shared" si="481"/>
        <v>32.688989578054858</v>
      </c>
      <c r="CA336" s="775">
        <v>76</v>
      </c>
      <c r="CB336" s="775">
        <f t="shared" si="562"/>
        <v>38</v>
      </c>
      <c r="CC336" s="673">
        <f t="shared" si="482"/>
        <v>5.3110104219451442</v>
      </c>
      <c r="CD336" s="91">
        <f t="shared" si="483"/>
        <v>2</v>
      </c>
      <c r="CE336" s="775" t="b">
        <f t="shared" si="484"/>
        <v>0</v>
      </c>
      <c r="CF336" s="673"/>
      <c r="CG336" s="775">
        <f t="shared" si="485"/>
        <v>5.3110104219451442</v>
      </c>
      <c r="CH336" s="775">
        <f t="shared" si="486"/>
        <v>3.4020396640585163E-2</v>
      </c>
      <c r="CI336" s="775">
        <f t="shared" si="487"/>
        <v>2.2754185358661253E-3</v>
      </c>
      <c r="CJ336" s="775">
        <f t="shared" si="488"/>
        <v>5.278758627649716</v>
      </c>
      <c r="CK336" s="775">
        <f t="shared" si="489"/>
        <v>2.6070150331131514</v>
      </c>
      <c r="CL336" s="775">
        <f t="shared" si="490"/>
        <v>4.6568811307537139</v>
      </c>
      <c r="CM336" s="775">
        <f t="shared" si="491"/>
        <v>9.1572416047445024</v>
      </c>
      <c r="CN336" s="775">
        <f t="shared" si="492"/>
        <v>2.5018710821191719</v>
      </c>
      <c r="CO336" s="775">
        <f t="shared" si="493"/>
        <v>3.5586951214712208</v>
      </c>
      <c r="CP336" s="775">
        <f t="shared" si="494"/>
        <v>42.525495800731456</v>
      </c>
      <c r="CQ336" s="775">
        <f t="shared" si="495"/>
        <v>6.8936604326838555</v>
      </c>
      <c r="CR336" s="775">
        <f t="shared" si="555"/>
        <v>33.368217660512087</v>
      </c>
      <c r="CS336" s="775">
        <f t="shared" si="496"/>
        <v>15.16737166386913</v>
      </c>
      <c r="CT336" s="775">
        <f t="shared" si="497"/>
        <v>5.3110104219451442</v>
      </c>
      <c r="CU336" s="775">
        <f t="shared" si="498"/>
        <v>3.8360522896293947</v>
      </c>
      <c r="CV336" s="775"/>
      <c r="CW336" s="775"/>
      <c r="CX336" s="775"/>
      <c r="CY336" s="775"/>
      <c r="CZ336" s="775"/>
      <c r="DA336" s="775"/>
      <c r="DB336" s="775"/>
      <c r="DC336" s="775"/>
      <c r="DD336" s="775" t="b">
        <f t="shared" si="556"/>
        <v>0</v>
      </c>
      <c r="DE336" s="775">
        <f t="shared" si="499"/>
        <v>25.185226569437127</v>
      </c>
      <c r="DF336" s="775">
        <v>76</v>
      </c>
      <c r="DG336" s="775">
        <f t="shared" si="557"/>
        <v>12</v>
      </c>
      <c r="DH336" s="673">
        <f t="shared" si="500"/>
        <v>37.185226569437127</v>
      </c>
      <c r="DI336" s="673">
        <f t="shared" si="501"/>
        <v>26</v>
      </c>
      <c r="DJ336" s="775" t="b">
        <f t="shared" si="502"/>
        <v>1</v>
      </c>
      <c r="DK336" s="673"/>
      <c r="DL336" s="775">
        <f t="shared" si="503"/>
        <v>37.185226569437127</v>
      </c>
      <c r="DM336" s="775">
        <f t="shared" si="504"/>
        <v>0.16189748472897716</v>
      </c>
      <c r="DN336" s="775">
        <f t="shared" si="505"/>
        <v>7.9514697208753933E-3</v>
      </c>
      <c r="DO336" s="775">
        <f t="shared" si="506"/>
        <v>8.2324307931608764</v>
      </c>
      <c r="DP336" s="775">
        <f t="shared" si="507"/>
        <v>4.3339032357990463</v>
      </c>
      <c r="DQ336" s="775">
        <f t="shared" si="508"/>
        <v>40.988622435272418</v>
      </c>
      <c r="DR336" s="775">
        <f t="shared" si="509"/>
        <v>87.068586812600103</v>
      </c>
      <c r="DS336" s="775">
        <f t="shared" si="510"/>
        <v>27.37940515376469</v>
      </c>
      <c r="DT336" s="775">
        <f t="shared" si="511"/>
        <v>42.900752523497538</v>
      </c>
      <c r="DU336" s="775">
        <f t="shared" si="512"/>
        <v>227.30406855948394</v>
      </c>
      <c r="DV336" s="775">
        <f t="shared" si="513"/>
        <v>32.840755009228474</v>
      </c>
      <c r="DW336" s="775">
        <f t="shared" si="514"/>
        <v>7.0118445749813221</v>
      </c>
      <c r="DX336" s="775">
        <f t="shared" si="515"/>
        <v>3.1872020795369642</v>
      </c>
      <c r="DY336" s="775">
        <f t="shared" si="516"/>
        <v>37.185226569437127</v>
      </c>
      <c r="DZ336" s="775">
        <f t="shared" si="517"/>
        <v>38.278695257795441</v>
      </c>
      <c r="EA336" s="775"/>
      <c r="EB336" s="775"/>
      <c r="EC336" s="775"/>
      <c r="ED336" s="775"/>
      <c r="EE336" s="775"/>
      <c r="EF336" s="775" t="b">
        <f t="shared" si="558"/>
        <v>0</v>
      </c>
      <c r="EG336" s="775">
        <f t="shared" si="518"/>
        <v>32.688989578054858</v>
      </c>
      <c r="EH336" s="775">
        <v>76</v>
      </c>
      <c r="EI336" s="775">
        <f t="shared" si="563"/>
        <v>38</v>
      </c>
      <c r="EJ336" s="673">
        <f t="shared" si="519"/>
        <v>5.3110104219451442</v>
      </c>
      <c r="EK336" s="673">
        <f t="shared" si="520"/>
        <v>2.2510196371999172</v>
      </c>
      <c r="EL336" s="775" t="b">
        <f t="shared" si="521"/>
        <v>0</v>
      </c>
      <c r="EM336" s="673"/>
      <c r="EN336" s="775">
        <f t="shared" si="522"/>
        <v>5.3110104219451442</v>
      </c>
      <c r="EO336" s="775">
        <f t="shared" si="523"/>
        <v>3.4020396640585163E-2</v>
      </c>
      <c r="EP336" s="775">
        <f t="shared" si="524"/>
        <v>2.2754185358661253E-3</v>
      </c>
      <c r="EQ336" s="775">
        <f t="shared" si="525"/>
        <v>5.278758627649716</v>
      </c>
      <c r="ER336" s="775">
        <f t="shared" si="526"/>
        <v>2.6070150331131514</v>
      </c>
      <c r="ES336" s="775">
        <f t="shared" si="527"/>
        <v>4.6568811307537139</v>
      </c>
      <c r="ET336" s="775">
        <f t="shared" si="528"/>
        <v>9.1572416047445024</v>
      </c>
      <c r="EU336" s="775">
        <f t="shared" si="529"/>
        <v>2.5018710821191719</v>
      </c>
      <c r="EV336" s="775">
        <f t="shared" si="530"/>
        <v>3.5586951214712208</v>
      </c>
      <c r="EW336" s="775">
        <f t="shared" si="531"/>
        <v>42.525495800731456</v>
      </c>
      <c r="EX336" s="775">
        <f t="shared" si="532"/>
        <v>6.8936604326838555</v>
      </c>
      <c r="EY336" s="775">
        <f t="shared" si="559"/>
        <v>33.368217660512087</v>
      </c>
      <c r="EZ336" s="775">
        <f t="shared" si="533"/>
        <v>15.16737166386913</v>
      </c>
      <c r="FA336" s="775">
        <f t="shared" si="534"/>
        <v>5.3110104219451442</v>
      </c>
      <c r="FB336" s="775">
        <f t="shared" si="535"/>
        <v>3.8360522896293947</v>
      </c>
      <c r="FC336" s="775"/>
      <c r="FD336" s="775"/>
      <c r="FE336" s="775"/>
      <c r="FF336" s="775"/>
      <c r="FG336" s="775"/>
      <c r="FH336" s="775"/>
      <c r="FI336" s="775"/>
      <c r="FJ336" s="775"/>
      <c r="FK336" s="775" t="b">
        <f t="shared" si="560"/>
        <v>0</v>
      </c>
      <c r="FL336" s="775">
        <f t="shared" si="536"/>
        <v>26.278695257795441</v>
      </c>
      <c r="FM336" s="775">
        <v>76</v>
      </c>
      <c r="FN336" s="775">
        <f t="shared" si="561"/>
        <v>12</v>
      </c>
      <c r="FO336" s="673">
        <f t="shared" si="480"/>
        <v>38.278695257795441</v>
      </c>
      <c r="FP336" s="673">
        <f t="shared" si="537"/>
        <v>31.576723317281619</v>
      </c>
      <c r="FQ336" s="775" t="b">
        <f t="shared" si="538"/>
        <v>1</v>
      </c>
      <c r="FR336" s="673"/>
      <c r="FS336" s="775">
        <f t="shared" si="539"/>
        <v>38.278695257795441</v>
      </c>
      <c r="FT336" s="775">
        <f t="shared" si="540"/>
        <v>0.16189748472897716</v>
      </c>
      <c r="FU336" s="775">
        <f t="shared" si="541"/>
        <v>7.9514697208753933E-3</v>
      </c>
      <c r="FV336" s="775">
        <f t="shared" si="542"/>
        <v>8.2324307931608764</v>
      </c>
      <c r="FW336" s="775">
        <f t="shared" si="543"/>
        <v>4.3339032357990463</v>
      </c>
      <c r="FX336" s="775">
        <f t="shared" si="544"/>
        <v>49.780245761350734</v>
      </c>
      <c r="FY336" s="775">
        <f t="shared" si="545"/>
        <v>105.74387213108417</v>
      </c>
      <c r="FZ336" s="775">
        <f t="shared" si="546"/>
        <v>27.37940515376469</v>
      </c>
      <c r="GA336" s="775">
        <f t="shared" si="547"/>
        <v>42.900752523497538</v>
      </c>
      <c r="GB336" s="775">
        <f t="shared" si="548"/>
        <v>227.30406855948394</v>
      </c>
      <c r="GC336" s="775">
        <f t="shared" si="549"/>
        <v>32.840755009228474</v>
      </c>
      <c r="GD336" s="775">
        <f t="shared" si="550"/>
        <v>12.437612832522447</v>
      </c>
      <c r="GE336" s="775">
        <f t="shared" si="551"/>
        <v>5.6534603784192941</v>
      </c>
      <c r="GF336" s="775">
        <f t="shared" si="552"/>
        <v>41.916476037073764</v>
      </c>
      <c r="GG336" s="775">
        <f t="shared" si="553"/>
        <v>38.278695257795441</v>
      </c>
    </row>
    <row r="337" spans="70:189">
      <c r="BR337" s="775"/>
      <c r="BS337" s="775"/>
      <c r="BT337" s="775"/>
      <c r="BU337" s="775"/>
      <c r="BV337" s="775"/>
      <c r="BW337" s="775"/>
      <c r="BX337" s="775"/>
      <c r="BY337" s="775" t="b">
        <f t="shared" si="554"/>
        <v>0</v>
      </c>
      <c r="BZ337" s="775">
        <f t="shared" si="481"/>
        <v>33.169237990678326</v>
      </c>
      <c r="CA337" s="775">
        <v>77</v>
      </c>
      <c r="CB337" s="775">
        <f t="shared" si="562"/>
        <v>38.5</v>
      </c>
      <c r="CC337" s="673">
        <f t="shared" si="482"/>
        <v>5.3307620093216714</v>
      </c>
      <c r="CD337" s="91">
        <f t="shared" si="483"/>
        <v>2</v>
      </c>
      <c r="CE337" s="775" t="b">
        <f t="shared" si="484"/>
        <v>0</v>
      </c>
      <c r="CF337" s="673"/>
      <c r="CG337" s="775">
        <f t="shared" si="485"/>
        <v>5.3307620093216714</v>
      </c>
      <c r="CH337" s="775">
        <f t="shared" si="486"/>
        <v>3.3587353292251126E-2</v>
      </c>
      <c r="CI337" s="775">
        <f t="shared" si="487"/>
        <v>2.2464548858522012E-3</v>
      </c>
      <c r="CJ337" s="775">
        <f t="shared" si="488"/>
        <v>5.2826128640962224</v>
      </c>
      <c r="CK337" s="775">
        <f t="shared" si="489"/>
        <v>2.607936845810984</v>
      </c>
      <c r="CL337" s="775">
        <f t="shared" si="490"/>
        <v>4.6718194460051112</v>
      </c>
      <c r="CM337" s="775">
        <f t="shared" si="491"/>
        <v>9.1866161492269693</v>
      </c>
      <c r="CN337" s="775">
        <f t="shared" si="492"/>
        <v>2.5061097837715636</v>
      </c>
      <c r="CO337" s="775">
        <f t="shared" si="493"/>
        <v>3.5645688889498688</v>
      </c>
      <c r="CP337" s="775">
        <f t="shared" si="494"/>
        <v>41.984191615313911</v>
      </c>
      <c r="CQ337" s="775">
        <f t="shared" si="495"/>
        <v>6.8059114911419467</v>
      </c>
      <c r="CR337" s="775">
        <f t="shared" si="555"/>
        <v>33.79843568269191</v>
      </c>
      <c r="CS337" s="775">
        <f t="shared" si="496"/>
        <v>15.362925310314504</v>
      </c>
      <c r="CT337" s="775">
        <f t="shared" si="497"/>
        <v>5.3307620093216714</v>
      </c>
      <c r="CU337" s="775">
        <f t="shared" si="498"/>
        <v>3.8440634819247532</v>
      </c>
      <c r="CV337" s="775"/>
      <c r="CW337" s="775"/>
      <c r="CX337" s="775"/>
      <c r="CY337" s="775"/>
      <c r="CZ337" s="775"/>
      <c r="DA337" s="775"/>
      <c r="DB337" s="775"/>
      <c r="DC337" s="775"/>
      <c r="DD337" s="775" t="b">
        <f t="shared" si="556"/>
        <v>0</v>
      </c>
      <c r="DE337" s="775">
        <f t="shared" si="499"/>
        <v>25.40971626522596</v>
      </c>
      <c r="DF337" s="775">
        <v>77</v>
      </c>
      <c r="DG337" s="775">
        <f t="shared" si="557"/>
        <v>11.5</v>
      </c>
      <c r="DH337" s="673">
        <f t="shared" si="500"/>
        <v>36.90971626522596</v>
      </c>
      <c r="DI337" s="673">
        <f t="shared" si="501"/>
        <v>26</v>
      </c>
      <c r="DJ337" s="775" t="b">
        <f t="shared" si="502"/>
        <v>1</v>
      </c>
      <c r="DK337" s="673"/>
      <c r="DL337" s="775">
        <f t="shared" si="503"/>
        <v>36.90971626522596</v>
      </c>
      <c r="DM337" s="775">
        <f t="shared" si="504"/>
        <v>0.16956318419667435</v>
      </c>
      <c r="DN337" s="775">
        <f t="shared" si="505"/>
        <v>8.3279646201554133E-3</v>
      </c>
      <c r="DO337" s="775">
        <f t="shared" si="506"/>
        <v>8.1695319027372957</v>
      </c>
      <c r="DP337" s="775">
        <f t="shared" si="507"/>
        <v>4.3165213511354619</v>
      </c>
      <c r="DQ337" s="775">
        <f t="shared" si="508"/>
        <v>40.517296272300854</v>
      </c>
      <c r="DR337" s="775">
        <f t="shared" si="509"/>
        <v>86.067389394888764</v>
      </c>
      <c r="DS337" s="775">
        <f t="shared" si="510"/>
        <v>27.181294440429877</v>
      </c>
      <c r="DT337" s="775">
        <f t="shared" si="511"/>
        <v>42.619042107618753</v>
      </c>
      <c r="DU337" s="775">
        <f t="shared" si="512"/>
        <v>238.06671061213078</v>
      </c>
      <c r="DV337" s="775">
        <f t="shared" si="513"/>
        <v>34.395735054869405</v>
      </c>
      <c r="DW337" s="775">
        <f t="shared" si="514"/>
        <v>6.6948495062660234</v>
      </c>
      <c r="DX337" s="775">
        <f t="shared" si="515"/>
        <v>3.0431134119391015</v>
      </c>
      <c r="DY337" s="775">
        <f t="shared" si="516"/>
        <v>36.90971626522596</v>
      </c>
      <c r="DZ337" s="775">
        <f t="shared" si="517"/>
        <v>38.119993999425809</v>
      </c>
      <c r="EA337" s="775"/>
      <c r="EB337" s="775"/>
      <c r="EC337" s="775"/>
      <c r="ED337" s="775"/>
      <c r="EE337" s="775"/>
      <c r="EF337" s="775" t="b">
        <f t="shared" si="558"/>
        <v>0</v>
      </c>
      <c r="EG337" s="775">
        <f t="shared" si="518"/>
        <v>33.169237990678326</v>
      </c>
      <c r="EH337" s="775">
        <v>77</v>
      </c>
      <c r="EI337" s="775">
        <f t="shared" si="563"/>
        <v>38.5</v>
      </c>
      <c r="EJ337" s="673">
        <f t="shared" si="519"/>
        <v>5.3307620093216714</v>
      </c>
      <c r="EK337" s="673">
        <f t="shared" si="520"/>
        <v>2.2510196371999172</v>
      </c>
      <c r="EL337" s="775" t="b">
        <f t="shared" si="521"/>
        <v>0</v>
      </c>
      <c r="EM337" s="673"/>
      <c r="EN337" s="775">
        <f t="shared" si="522"/>
        <v>5.3307620093216714</v>
      </c>
      <c r="EO337" s="775">
        <f t="shared" si="523"/>
        <v>3.3587353292251126E-2</v>
      </c>
      <c r="EP337" s="775">
        <f t="shared" si="524"/>
        <v>2.2464548858522012E-3</v>
      </c>
      <c r="EQ337" s="775">
        <f t="shared" si="525"/>
        <v>5.2826128640962224</v>
      </c>
      <c r="ER337" s="775">
        <f t="shared" si="526"/>
        <v>2.607936845810984</v>
      </c>
      <c r="ES337" s="775">
        <f t="shared" si="527"/>
        <v>4.6718194460051112</v>
      </c>
      <c r="ET337" s="775">
        <f t="shared" si="528"/>
        <v>9.1866161492269693</v>
      </c>
      <c r="EU337" s="775">
        <f t="shared" si="529"/>
        <v>2.5061097837715636</v>
      </c>
      <c r="EV337" s="775">
        <f t="shared" si="530"/>
        <v>3.5645688889498688</v>
      </c>
      <c r="EW337" s="775">
        <f t="shared" si="531"/>
        <v>41.984191615313911</v>
      </c>
      <c r="EX337" s="775">
        <f t="shared" si="532"/>
        <v>6.8059114911419467</v>
      </c>
      <c r="EY337" s="775">
        <f t="shared" si="559"/>
        <v>33.79843568269191</v>
      </c>
      <c r="EZ337" s="775">
        <f t="shared" si="533"/>
        <v>15.362925310314504</v>
      </c>
      <c r="FA337" s="775">
        <f t="shared" si="534"/>
        <v>5.3307620093216714</v>
      </c>
      <c r="FB337" s="775">
        <f t="shared" si="535"/>
        <v>3.8440634819247532</v>
      </c>
      <c r="FC337" s="775"/>
      <c r="FD337" s="775"/>
      <c r="FE337" s="775"/>
      <c r="FF337" s="775"/>
      <c r="FG337" s="775"/>
      <c r="FH337" s="775"/>
      <c r="FI337" s="775"/>
      <c r="FJ337" s="775"/>
      <c r="FK337" s="775" t="b">
        <f t="shared" si="560"/>
        <v>0</v>
      </c>
      <c r="FL337" s="775">
        <f t="shared" si="536"/>
        <v>26.619993999425809</v>
      </c>
      <c r="FM337" s="775">
        <v>77</v>
      </c>
      <c r="FN337" s="775">
        <f t="shared" si="561"/>
        <v>11.5</v>
      </c>
      <c r="FO337" s="673">
        <f t="shared" si="480"/>
        <v>38.119993999425809</v>
      </c>
      <c r="FP337" s="673">
        <f t="shared" si="537"/>
        <v>31.576723317281619</v>
      </c>
      <c r="FQ337" s="775" t="b">
        <f t="shared" si="538"/>
        <v>1</v>
      </c>
      <c r="FR337" s="673"/>
      <c r="FS337" s="775">
        <f t="shared" si="539"/>
        <v>38.119993999425809</v>
      </c>
      <c r="FT337" s="775">
        <f t="shared" si="540"/>
        <v>0.16956318419667435</v>
      </c>
      <c r="FU337" s="775">
        <f t="shared" si="541"/>
        <v>8.3279646201554133E-3</v>
      </c>
      <c r="FV337" s="775">
        <f t="shared" si="542"/>
        <v>8.1695319027372957</v>
      </c>
      <c r="FW337" s="775">
        <f t="shared" si="543"/>
        <v>4.3165213511354619</v>
      </c>
      <c r="FX337" s="775">
        <f t="shared" si="544"/>
        <v>49.207825152106537</v>
      </c>
      <c r="FY337" s="775">
        <f t="shared" si="545"/>
        <v>104.52792852165926</v>
      </c>
      <c r="FZ337" s="775">
        <f t="shared" si="546"/>
        <v>27.181294440429877</v>
      </c>
      <c r="GA337" s="775">
        <f t="shared" si="547"/>
        <v>42.619042107618753</v>
      </c>
      <c r="GB337" s="775">
        <f t="shared" si="548"/>
        <v>238.06671061213078</v>
      </c>
      <c r="GC337" s="775">
        <f t="shared" si="549"/>
        <v>34.395735054869405</v>
      </c>
      <c r="GD337" s="775">
        <f t="shared" si="550"/>
        <v>11.875326847381334</v>
      </c>
      <c r="GE337" s="775">
        <f t="shared" si="551"/>
        <v>5.3978758397187878</v>
      </c>
      <c r="GF337" s="775">
        <f t="shared" si="552"/>
        <v>41.630224211964268</v>
      </c>
      <c r="GG337" s="775">
        <f t="shared" si="553"/>
        <v>38.119993999425809</v>
      </c>
    </row>
    <row r="338" spans="70:189">
      <c r="BR338" s="775"/>
      <c r="BS338" s="775"/>
      <c r="BT338" s="775"/>
      <c r="BU338" s="775"/>
      <c r="BV338" s="775"/>
      <c r="BW338" s="775"/>
      <c r="BX338" s="775"/>
      <c r="BY338" s="775" t="b">
        <f t="shared" si="554"/>
        <v>0</v>
      </c>
      <c r="BZ338" s="775">
        <f t="shared" si="481"/>
        <v>33.6496872507565</v>
      </c>
      <c r="CA338" s="775">
        <v>78</v>
      </c>
      <c r="CB338" s="775">
        <f t="shared" si="562"/>
        <v>39</v>
      </c>
      <c r="CC338" s="673">
        <f t="shared" si="482"/>
        <v>5.3503127492434963</v>
      </c>
      <c r="CD338" s="91">
        <f t="shared" si="483"/>
        <v>2</v>
      </c>
      <c r="CE338" s="775" t="b">
        <f t="shared" si="484"/>
        <v>0</v>
      </c>
      <c r="CF338" s="673"/>
      <c r="CG338" s="775">
        <f t="shared" si="485"/>
        <v>5.3503127492434963</v>
      </c>
      <c r="CH338" s="775">
        <f t="shared" si="486"/>
        <v>3.3165304001346027E-2</v>
      </c>
      <c r="CI338" s="775">
        <f t="shared" si="487"/>
        <v>2.2182265618346918E-3</v>
      </c>
      <c r="CJ338" s="775">
        <f t="shared" si="488"/>
        <v>5.2863762981319198</v>
      </c>
      <c r="CK338" s="775">
        <f t="shared" si="489"/>
        <v>2.6088361971870726</v>
      </c>
      <c r="CL338" s="775">
        <f t="shared" si="490"/>
        <v>4.6866119983058327</v>
      </c>
      <c r="CM338" s="775">
        <f t="shared" si="491"/>
        <v>9.2157040669910639</v>
      </c>
      <c r="CN338" s="775">
        <f t="shared" si="492"/>
        <v>2.5103001548687911</v>
      </c>
      <c r="CO338" s="775">
        <f t="shared" si="493"/>
        <v>3.5703758519565105</v>
      </c>
      <c r="CP338" s="775">
        <f t="shared" si="494"/>
        <v>41.456630001682534</v>
      </c>
      <c r="CQ338" s="775">
        <f t="shared" si="495"/>
        <v>6.7203903101841709</v>
      </c>
      <c r="CR338" s="775">
        <f t="shared" si="555"/>
        <v>34.228541971269962</v>
      </c>
      <c r="CS338" s="775">
        <f t="shared" si="496"/>
        <v>15.558428168759072</v>
      </c>
      <c r="CT338" s="775">
        <f t="shared" si="497"/>
        <v>5.3503127492434963</v>
      </c>
      <c r="CU338" s="775">
        <f t="shared" si="498"/>
        <v>3.8519822480522983</v>
      </c>
      <c r="CV338" s="775"/>
      <c r="CW338" s="775"/>
      <c r="CX338" s="775"/>
      <c r="CY338" s="775"/>
      <c r="CZ338" s="775"/>
      <c r="DA338" s="775"/>
      <c r="DB338" s="775"/>
      <c r="DC338" s="775"/>
      <c r="DD338" s="775" t="b">
        <f t="shared" si="556"/>
        <v>0</v>
      </c>
      <c r="DE338" s="775">
        <f t="shared" si="499"/>
        <v>25.622792747208067</v>
      </c>
      <c r="DF338" s="775">
        <v>78</v>
      </c>
      <c r="DG338" s="775">
        <f t="shared" si="557"/>
        <v>11</v>
      </c>
      <c r="DH338" s="673">
        <f t="shared" si="500"/>
        <v>36.622792747208067</v>
      </c>
      <c r="DI338" s="673">
        <f t="shared" si="501"/>
        <v>26</v>
      </c>
      <c r="DJ338" s="775" t="b">
        <f t="shared" si="502"/>
        <v>1</v>
      </c>
      <c r="DK338" s="673"/>
      <c r="DL338" s="775">
        <f t="shared" si="503"/>
        <v>36.622792747208067</v>
      </c>
      <c r="DM338" s="775">
        <f t="shared" si="504"/>
        <v>0.1779574881938959</v>
      </c>
      <c r="DN338" s="775">
        <f t="shared" si="505"/>
        <v>8.7402443672649349E-3</v>
      </c>
      <c r="DO338" s="775">
        <f t="shared" si="506"/>
        <v>8.1020691862521854</v>
      </c>
      <c r="DP338" s="775">
        <f t="shared" si="507"/>
        <v>4.2977252072601413</v>
      </c>
      <c r="DQ338" s="775">
        <f t="shared" si="508"/>
        <v>40.030801084912369</v>
      </c>
      <c r="DR338" s="775">
        <f t="shared" si="509"/>
        <v>85.033969730104062</v>
      </c>
      <c r="DS338" s="775">
        <f t="shared" si="510"/>
        <v>26.975538530265002</v>
      </c>
      <c r="DT338" s="775">
        <f t="shared" si="511"/>
        <v>42.326418169374357</v>
      </c>
      <c r="DU338" s="775">
        <f t="shared" si="512"/>
        <v>249.85231342422983</v>
      </c>
      <c r="DV338" s="775">
        <f t="shared" si="513"/>
        <v>36.098511855307237</v>
      </c>
      <c r="DW338" s="775">
        <f t="shared" si="514"/>
        <v>6.3790516011505405</v>
      </c>
      <c r="DX338" s="775">
        <f t="shared" si="515"/>
        <v>2.8995689096138819</v>
      </c>
      <c r="DY338" s="775">
        <f t="shared" si="516"/>
        <v>36.622792747208067</v>
      </c>
      <c r="DZ338" s="775">
        <f t="shared" si="517"/>
        <v>37.954278145151662</v>
      </c>
      <c r="EA338" s="775"/>
      <c r="EB338" s="775"/>
      <c r="EC338" s="775"/>
      <c r="ED338" s="775"/>
      <c r="EE338" s="775"/>
      <c r="EF338" s="775" t="b">
        <f t="shared" si="558"/>
        <v>0</v>
      </c>
      <c r="EG338" s="775">
        <f t="shared" si="518"/>
        <v>33.6496872507565</v>
      </c>
      <c r="EH338" s="775">
        <v>78</v>
      </c>
      <c r="EI338" s="775">
        <f t="shared" si="563"/>
        <v>39</v>
      </c>
      <c r="EJ338" s="673">
        <f t="shared" si="519"/>
        <v>5.3503127492434963</v>
      </c>
      <c r="EK338" s="673">
        <f t="shared" si="520"/>
        <v>2.2510196371999172</v>
      </c>
      <c r="EL338" s="775" t="b">
        <f t="shared" si="521"/>
        <v>0</v>
      </c>
      <c r="EM338" s="673"/>
      <c r="EN338" s="775">
        <f t="shared" si="522"/>
        <v>5.3503127492434963</v>
      </c>
      <c r="EO338" s="775">
        <f t="shared" si="523"/>
        <v>3.3165304001346027E-2</v>
      </c>
      <c r="EP338" s="775">
        <f t="shared" si="524"/>
        <v>2.2182265618346918E-3</v>
      </c>
      <c r="EQ338" s="775">
        <f t="shared" si="525"/>
        <v>5.2863762981319198</v>
      </c>
      <c r="ER338" s="775">
        <f t="shared" si="526"/>
        <v>2.6088361971870726</v>
      </c>
      <c r="ES338" s="775">
        <f t="shared" si="527"/>
        <v>4.6866119983058327</v>
      </c>
      <c r="ET338" s="775">
        <f t="shared" si="528"/>
        <v>9.2157040669910639</v>
      </c>
      <c r="EU338" s="775">
        <f t="shared" si="529"/>
        <v>2.5103001548687911</v>
      </c>
      <c r="EV338" s="775">
        <f t="shared" si="530"/>
        <v>3.5703758519565105</v>
      </c>
      <c r="EW338" s="775">
        <f t="shared" si="531"/>
        <v>41.456630001682534</v>
      </c>
      <c r="EX338" s="775">
        <f t="shared" si="532"/>
        <v>6.7203903101841709</v>
      </c>
      <c r="EY338" s="775">
        <f t="shared" si="559"/>
        <v>34.228541971269962</v>
      </c>
      <c r="EZ338" s="775">
        <f t="shared" si="533"/>
        <v>15.558428168759072</v>
      </c>
      <c r="FA338" s="775">
        <f t="shared" si="534"/>
        <v>5.3503127492434963</v>
      </c>
      <c r="FB338" s="775">
        <f t="shared" si="535"/>
        <v>3.8519822480522983</v>
      </c>
      <c r="FC338" s="775"/>
      <c r="FD338" s="775"/>
      <c r="FE338" s="775"/>
      <c r="FF338" s="775"/>
      <c r="FG338" s="775"/>
      <c r="FH338" s="775"/>
      <c r="FI338" s="775"/>
      <c r="FJ338" s="775"/>
      <c r="FK338" s="775" t="b">
        <f t="shared" si="560"/>
        <v>0</v>
      </c>
      <c r="FL338" s="775">
        <f t="shared" si="536"/>
        <v>26.954278145151662</v>
      </c>
      <c r="FM338" s="775">
        <v>78</v>
      </c>
      <c r="FN338" s="775">
        <f t="shared" si="561"/>
        <v>11</v>
      </c>
      <c r="FO338" s="673">
        <f t="shared" si="480"/>
        <v>37.954278145151662</v>
      </c>
      <c r="FP338" s="673">
        <f t="shared" si="537"/>
        <v>31.576723317281619</v>
      </c>
      <c r="FQ338" s="775" t="b">
        <f t="shared" si="538"/>
        <v>1</v>
      </c>
      <c r="FR338" s="673"/>
      <c r="FS338" s="775">
        <f t="shared" si="539"/>
        <v>37.954278145151662</v>
      </c>
      <c r="FT338" s="775">
        <f t="shared" si="540"/>
        <v>0.1779574881938959</v>
      </c>
      <c r="FU338" s="775">
        <f t="shared" si="541"/>
        <v>8.7402443672649349E-3</v>
      </c>
      <c r="FV338" s="775">
        <f t="shared" si="542"/>
        <v>8.1020691862521854</v>
      </c>
      <c r="FW338" s="775">
        <f t="shared" si="543"/>
        <v>4.2977252072601413</v>
      </c>
      <c r="FX338" s="775">
        <f t="shared" si="544"/>
        <v>48.616981924131338</v>
      </c>
      <c r="FY338" s="775">
        <f t="shared" si="545"/>
        <v>103.27285133606141</v>
      </c>
      <c r="FZ338" s="775">
        <f t="shared" si="546"/>
        <v>26.975538530265002</v>
      </c>
      <c r="GA338" s="775">
        <f t="shared" si="547"/>
        <v>42.326418169374357</v>
      </c>
      <c r="GB338" s="775">
        <f t="shared" si="548"/>
        <v>249.85231342422983</v>
      </c>
      <c r="GC338" s="775">
        <f t="shared" si="549"/>
        <v>36.098511855307237</v>
      </c>
      <c r="GD338" s="775">
        <f t="shared" si="550"/>
        <v>11.315164391533047</v>
      </c>
      <c r="GE338" s="775">
        <f t="shared" si="551"/>
        <v>5.1432565416059299</v>
      </c>
      <c r="GF338" s="775">
        <f t="shared" si="552"/>
        <v>41.331785484949556</v>
      </c>
      <c r="GG338" s="775">
        <f t="shared" si="553"/>
        <v>37.954278145151662</v>
      </c>
    </row>
    <row r="339" spans="70:189">
      <c r="BR339" s="775"/>
      <c r="BS339" s="775"/>
      <c r="BT339" s="775"/>
      <c r="BU339" s="775"/>
      <c r="BV339" s="775"/>
      <c r="BW339" s="775"/>
      <c r="BX339" s="775"/>
      <c r="BY339" s="775" t="b">
        <f t="shared" si="554"/>
        <v>0</v>
      </c>
      <c r="BZ339" s="775">
        <f t="shared" si="481"/>
        <v>34.130332803270299</v>
      </c>
      <c r="CA339" s="775">
        <v>79</v>
      </c>
      <c r="CB339" s="775">
        <f t="shared" si="562"/>
        <v>39.5</v>
      </c>
      <c r="CC339" s="673">
        <f t="shared" si="482"/>
        <v>5.3696671967297034</v>
      </c>
      <c r="CD339" s="91">
        <f t="shared" si="483"/>
        <v>2</v>
      </c>
      <c r="CE339" s="775" t="b">
        <f t="shared" si="484"/>
        <v>0</v>
      </c>
      <c r="CF339" s="673"/>
      <c r="CG339" s="775">
        <f t="shared" si="485"/>
        <v>5.3696671967297034</v>
      </c>
      <c r="CH339" s="775">
        <f t="shared" si="486"/>
        <v>3.275383400237241E-2</v>
      </c>
      <c r="CI339" s="775">
        <f t="shared" si="487"/>
        <v>2.1907058226584633E-3</v>
      </c>
      <c r="CJ339" s="775">
        <f t="shared" si="488"/>
        <v>5.2900521146508828</v>
      </c>
      <c r="CK339" s="775">
        <f t="shared" si="489"/>
        <v>2.6097139013282331</v>
      </c>
      <c r="CL339" s="775">
        <f t="shared" si="490"/>
        <v>4.7012620516795831</v>
      </c>
      <c r="CM339" s="775">
        <f t="shared" si="491"/>
        <v>9.2445117763783387</v>
      </c>
      <c r="CN339" s="775">
        <f t="shared" si="492"/>
        <v>2.51444335627236</v>
      </c>
      <c r="CO339" s="775">
        <f t="shared" si="493"/>
        <v>3.5761176129404322</v>
      </c>
      <c r="CP339" s="775">
        <f t="shared" si="494"/>
        <v>40.942292502965515</v>
      </c>
      <c r="CQ339" s="775">
        <f t="shared" si="495"/>
        <v>6.6370128445676473</v>
      </c>
      <c r="CR339" s="775">
        <f t="shared" si="555"/>
        <v>34.658537987271224</v>
      </c>
      <c r="CS339" s="775">
        <f t="shared" si="496"/>
        <v>15.753880903305101</v>
      </c>
      <c r="CT339" s="775">
        <f t="shared" si="497"/>
        <v>5.3696671967297034</v>
      </c>
      <c r="CU339" s="775">
        <f t="shared" si="498"/>
        <v>3.8598108180222437</v>
      </c>
      <c r="CV339" s="775"/>
      <c r="CW339" s="775"/>
      <c r="CX339" s="775"/>
      <c r="CY339" s="775"/>
      <c r="CZ339" s="775"/>
      <c r="DA339" s="775"/>
      <c r="DB339" s="775"/>
      <c r="DC339" s="775"/>
      <c r="DD339" s="775" t="b">
        <f t="shared" si="556"/>
        <v>0</v>
      </c>
      <c r="DE339" s="775">
        <f t="shared" si="499"/>
        <v>25.823451837794074</v>
      </c>
      <c r="DF339" s="775">
        <v>79</v>
      </c>
      <c r="DG339" s="775">
        <f t="shared" si="557"/>
        <v>10.5</v>
      </c>
      <c r="DH339" s="673">
        <f t="shared" si="500"/>
        <v>36.323451837794074</v>
      </c>
      <c r="DI339" s="673">
        <f t="shared" si="501"/>
        <v>26</v>
      </c>
      <c r="DJ339" s="775" t="b">
        <f t="shared" si="502"/>
        <v>1</v>
      </c>
      <c r="DK339" s="673"/>
      <c r="DL339" s="775">
        <f t="shared" si="503"/>
        <v>36.323451837794074</v>
      </c>
      <c r="DM339" s="775">
        <f t="shared" si="504"/>
        <v>0.18718771715289279</v>
      </c>
      <c r="DN339" s="775">
        <f t="shared" si="505"/>
        <v>9.1935799222124092E-3</v>
      </c>
      <c r="DO339" s="775">
        <f t="shared" si="506"/>
        <v>8.0295366986475294</v>
      </c>
      <c r="DP339" s="775">
        <f t="shared" si="507"/>
        <v>4.2773380873963882</v>
      </c>
      <c r="DQ339" s="775">
        <f t="shared" si="508"/>
        <v>39.527924467034239</v>
      </c>
      <c r="DR339" s="775">
        <f t="shared" si="509"/>
        <v>83.965752408848843</v>
      </c>
      <c r="DS339" s="775">
        <f t="shared" si="510"/>
        <v>26.761475371015798</v>
      </c>
      <c r="DT339" s="775">
        <f t="shared" si="511"/>
        <v>42.021931607485854</v>
      </c>
      <c r="DU339" s="775">
        <f t="shared" si="512"/>
        <v>262.81155488266148</v>
      </c>
      <c r="DV339" s="775">
        <f t="shared" si="513"/>
        <v>37.970855260944148</v>
      </c>
      <c r="DW339" s="775">
        <f t="shared" si="514"/>
        <v>6.0645004772016193</v>
      </c>
      <c r="DX339" s="775">
        <f t="shared" si="515"/>
        <v>2.7565911260007359</v>
      </c>
      <c r="DY339" s="775">
        <f t="shared" si="516"/>
        <v>36.323451837794074</v>
      </c>
      <c r="DZ339" s="775">
        <f t="shared" si="517"/>
        <v>37.780899453697643</v>
      </c>
      <c r="EA339" s="775"/>
      <c r="EB339" s="775"/>
      <c r="EC339" s="775"/>
      <c r="ED339" s="775"/>
      <c r="EE339" s="775"/>
      <c r="EF339" s="775" t="b">
        <f t="shared" si="558"/>
        <v>0</v>
      </c>
      <c r="EG339" s="775">
        <f t="shared" si="518"/>
        <v>34.130332803270299</v>
      </c>
      <c r="EH339" s="775">
        <v>79</v>
      </c>
      <c r="EI339" s="775">
        <f t="shared" si="563"/>
        <v>39.5</v>
      </c>
      <c r="EJ339" s="673">
        <f t="shared" si="519"/>
        <v>5.3696671967297034</v>
      </c>
      <c r="EK339" s="673">
        <f t="shared" si="520"/>
        <v>2.2510196371999172</v>
      </c>
      <c r="EL339" s="775" t="b">
        <f t="shared" si="521"/>
        <v>0</v>
      </c>
      <c r="EM339" s="673"/>
      <c r="EN339" s="775">
        <f t="shared" si="522"/>
        <v>5.3696671967297034</v>
      </c>
      <c r="EO339" s="775">
        <f t="shared" si="523"/>
        <v>3.275383400237241E-2</v>
      </c>
      <c r="EP339" s="775">
        <f t="shared" si="524"/>
        <v>2.1907058226584633E-3</v>
      </c>
      <c r="EQ339" s="775">
        <f t="shared" si="525"/>
        <v>5.2900521146508828</v>
      </c>
      <c r="ER339" s="775">
        <f t="shared" si="526"/>
        <v>2.6097139013282331</v>
      </c>
      <c r="ES339" s="775">
        <f t="shared" si="527"/>
        <v>4.7012620516795831</v>
      </c>
      <c r="ET339" s="775">
        <f t="shared" si="528"/>
        <v>9.2445117763783387</v>
      </c>
      <c r="EU339" s="775">
        <f t="shared" si="529"/>
        <v>2.51444335627236</v>
      </c>
      <c r="EV339" s="775">
        <f t="shared" si="530"/>
        <v>3.5761176129404322</v>
      </c>
      <c r="EW339" s="775">
        <f t="shared" si="531"/>
        <v>40.942292502965515</v>
      </c>
      <c r="EX339" s="775">
        <f t="shared" si="532"/>
        <v>6.6370128445676473</v>
      </c>
      <c r="EY339" s="775">
        <f t="shared" si="559"/>
        <v>34.658537987271224</v>
      </c>
      <c r="EZ339" s="775">
        <f t="shared" si="533"/>
        <v>15.753880903305101</v>
      </c>
      <c r="FA339" s="775">
        <f t="shared" si="534"/>
        <v>5.3696671967297034</v>
      </c>
      <c r="FB339" s="775">
        <f t="shared" si="535"/>
        <v>3.8598108180222437</v>
      </c>
      <c r="FC339" s="775"/>
      <c r="FD339" s="775"/>
      <c r="FE339" s="775"/>
      <c r="FF339" s="775"/>
      <c r="FG339" s="775"/>
      <c r="FH339" s="775"/>
      <c r="FI339" s="775"/>
      <c r="FJ339" s="775"/>
      <c r="FK339" s="775" t="b">
        <f t="shared" si="560"/>
        <v>0</v>
      </c>
      <c r="FL339" s="775">
        <f t="shared" si="536"/>
        <v>27.280899453697643</v>
      </c>
      <c r="FM339" s="775">
        <v>79</v>
      </c>
      <c r="FN339" s="775">
        <f t="shared" si="561"/>
        <v>10.5</v>
      </c>
      <c r="FO339" s="673">
        <f t="shared" si="480"/>
        <v>37.780899453697643</v>
      </c>
      <c r="FP339" s="673">
        <f t="shared" si="537"/>
        <v>31.576723317281619</v>
      </c>
      <c r="FQ339" s="775" t="b">
        <f t="shared" si="538"/>
        <v>1</v>
      </c>
      <c r="FR339" s="673"/>
      <c r="FS339" s="775">
        <f t="shared" si="539"/>
        <v>37.780899453697643</v>
      </c>
      <c r="FT339" s="775">
        <f t="shared" si="540"/>
        <v>0.18718771715289279</v>
      </c>
      <c r="FU339" s="775">
        <f t="shared" si="541"/>
        <v>9.1935799222124092E-3</v>
      </c>
      <c r="FV339" s="775">
        <f t="shared" si="542"/>
        <v>8.0295366986475294</v>
      </c>
      <c r="FW339" s="775">
        <f t="shared" si="543"/>
        <v>4.2773380873963882</v>
      </c>
      <c r="FX339" s="775">
        <f t="shared" si="544"/>
        <v>48.006243623151796</v>
      </c>
      <c r="FY339" s="775">
        <f t="shared" si="545"/>
        <v>101.97551276698432</v>
      </c>
      <c r="FZ339" s="775">
        <f t="shared" si="546"/>
        <v>26.761475371015798</v>
      </c>
      <c r="GA339" s="775">
        <f t="shared" si="547"/>
        <v>42.021931607485854</v>
      </c>
      <c r="GB339" s="775">
        <f t="shared" si="548"/>
        <v>262.81155488266148</v>
      </c>
      <c r="GC339" s="775">
        <f t="shared" si="549"/>
        <v>37.970855260944148</v>
      </c>
      <c r="GD339" s="775">
        <f t="shared" si="550"/>
        <v>10.757213476638176</v>
      </c>
      <c r="GE339" s="775">
        <f t="shared" si="551"/>
        <v>4.8896424893809884</v>
      </c>
      <c r="GF339" s="775">
        <f t="shared" si="552"/>
        <v>41.020072941171172</v>
      </c>
      <c r="GG339" s="775">
        <f t="shared" si="553"/>
        <v>37.780899453697643</v>
      </c>
    </row>
    <row r="340" spans="70:189">
      <c r="BR340" s="775"/>
      <c r="BS340" s="775"/>
      <c r="BT340" s="775"/>
      <c r="BU340" s="775"/>
      <c r="BV340" s="775"/>
      <c r="BW340" s="775"/>
      <c r="BX340" s="775"/>
      <c r="BY340" s="775" t="b">
        <f t="shared" si="554"/>
        <v>0</v>
      </c>
      <c r="BZ340" s="775">
        <f t="shared" si="481"/>
        <v>34.611170252413274</v>
      </c>
      <c r="CA340" s="775">
        <v>80</v>
      </c>
      <c r="CB340" s="775">
        <f t="shared" si="562"/>
        <v>40</v>
      </c>
      <c r="CC340" s="673">
        <f t="shared" si="482"/>
        <v>5.3888297475867271</v>
      </c>
      <c r="CD340" s="91">
        <f t="shared" si="483"/>
        <v>2</v>
      </c>
      <c r="CE340" s="775" t="b">
        <f t="shared" si="484"/>
        <v>0</v>
      </c>
      <c r="CF340" s="673"/>
      <c r="CG340" s="775">
        <f t="shared" si="485"/>
        <v>5.3888297475867271</v>
      </c>
      <c r="CH340" s="775">
        <f t="shared" si="486"/>
        <v>3.2352549167023431E-2</v>
      </c>
      <c r="CI340" s="775">
        <f t="shared" si="487"/>
        <v>2.163866307465223E-3</v>
      </c>
      <c r="CJ340" s="775">
        <f t="shared" si="488"/>
        <v>5.2936433509614975</v>
      </c>
      <c r="CK340" s="775">
        <f t="shared" si="489"/>
        <v>2.6105707333725499</v>
      </c>
      <c r="CL340" s="775">
        <f t="shared" si="490"/>
        <v>4.7157727568566123</v>
      </c>
      <c r="CM340" s="775">
        <f t="shared" si="491"/>
        <v>9.2730454729512974</v>
      </c>
      <c r="CN340" s="775">
        <f t="shared" si="492"/>
        <v>2.5185405066903215</v>
      </c>
      <c r="CO340" s="775">
        <f t="shared" si="493"/>
        <v>3.581795716214994</v>
      </c>
      <c r="CP340" s="775">
        <f t="shared" si="494"/>
        <v>40.44068645877929</v>
      </c>
      <c r="CQ340" s="775">
        <f t="shared" si="495"/>
        <v>6.5556992308286119</v>
      </c>
      <c r="CR340" s="775">
        <f t="shared" si="555"/>
        <v>35.088425154364522</v>
      </c>
      <c r="CS340" s="775">
        <f t="shared" si="496"/>
        <v>15.949284161074781</v>
      </c>
      <c r="CT340" s="775">
        <f t="shared" si="497"/>
        <v>5.3888297475867271</v>
      </c>
      <c r="CU340" s="775">
        <f t="shared" si="498"/>
        <v>3.8675513406525237</v>
      </c>
      <c r="CV340" s="775"/>
      <c r="CW340" s="775"/>
      <c r="CX340" s="775"/>
      <c r="CY340" s="775"/>
      <c r="CZ340" s="775"/>
      <c r="DA340" s="775"/>
      <c r="DB340" s="775"/>
      <c r="DC340" s="775"/>
      <c r="DD340" s="775" t="b">
        <f t="shared" si="556"/>
        <v>0</v>
      </c>
      <c r="DE340" s="775">
        <f t="shared" si="499"/>
        <v>26.010548751254269</v>
      </c>
      <c r="DF340" s="775">
        <v>80</v>
      </c>
      <c r="DG340" s="775">
        <f t="shared" si="557"/>
        <v>10</v>
      </c>
      <c r="DH340" s="673">
        <f t="shared" si="500"/>
        <v>36.010548751254269</v>
      </c>
      <c r="DI340" s="673">
        <f t="shared" si="501"/>
        <v>26</v>
      </c>
      <c r="DJ340" s="775" t="b">
        <f t="shared" si="502"/>
        <v>1</v>
      </c>
      <c r="DK340" s="673"/>
      <c r="DL340" s="775">
        <f t="shared" si="503"/>
        <v>36.010548751254269</v>
      </c>
      <c r="DM340" s="775">
        <f t="shared" si="504"/>
        <v>0.19738316838885631</v>
      </c>
      <c r="DN340" s="775">
        <f t="shared" si="505"/>
        <v>9.6943216226108922E-3</v>
      </c>
      <c r="DO340" s="775">
        <f t="shared" si="506"/>
        <v>7.9513514834906456</v>
      </c>
      <c r="DP340" s="775">
        <f t="shared" si="507"/>
        <v>4.2551528340167648</v>
      </c>
      <c r="DQ340" s="775">
        <f t="shared" si="508"/>
        <v>39.007293581552531</v>
      </c>
      <c r="DR340" s="775">
        <f t="shared" si="509"/>
        <v>82.859821231935811</v>
      </c>
      <c r="DS340" s="775">
        <f t="shared" si="510"/>
        <v>26.538350667525677</v>
      </c>
      <c r="DT340" s="775">
        <f t="shared" si="511"/>
        <v>41.70450056731022</v>
      </c>
      <c r="DU340" s="775">
        <f t="shared" si="512"/>
        <v>277.12596841795425</v>
      </c>
      <c r="DV340" s="775">
        <f t="shared" si="513"/>
        <v>40.038993112556398</v>
      </c>
      <c r="DW340" s="775">
        <f t="shared" si="514"/>
        <v>5.7512502675182011</v>
      </c>
      <c r="DX340" s="775">
        <f t="shared" si="515"/>
        <v>2.6142046670537278</v>
      </c>
      <c r="DY340" s="775">
        <f t="shared" si="516"/>
        <v>36.010548751254269</v>
      </c>
      <c r="DZ340" s="775">
        <f t="shared" si="517"/>
        <v>37.599115356481654</v>
      </c>
      <c r="EA340" s="775"/>
      <c r="EB340" s="775"/>
      <c r="EC340" s="775"/>
      <c r="ED340" s="775"/>
      <c r="EE340" s="775"/>
      <c r="EF340" s="775" t="b">
        <f t="shared" si="558"/>
        <v>0</v>
      </c>
      <c r="EG340" s="775">
        <f t="shared" si="518"/>
        <v>34.611170252413274</v>
      </c>
      <c r="EH340" s="775">
        <v>80</v>
      </c>
      <c r="EI340" s="775">
        <f t="shared" si="563"/>
        <v>40</v>
      </c>
      <c r="EJ340" s="673">
        <f t="shared" si="519"/>
        <v>5.3888297475867271</v>
      </c>
      <c r="EK340" s="673">
        <f t="shared" si="520"/>
        <v>2.2510196371999172</v>
      </c>
      <c r="EL340" s="775" t="b">
        <f t="shared" si="521"/>
        <v>0</v>
      </c>
      <c r="EM340" s="673"/>
      <c r="EN340" s="775">
        <f t="shared" si="522"/>
        <v>5.3888297475867271</v>
      </c>
      <c r="EO340" s="775">
        <f t="shared" si="523"/>
        <v>3.2352549167023431E-2</v>
      </c>
      <c r="EP340" s="775">
        <f t="shared" si="524"/>
        <v>2.163866307465223E-3</v>
      </c>
      <c r="EQ340" s="775">
        <f t="shared" si="525"/>
        <v>5.2936433509614975</v>
      </c>
      <c r="ER340" s="775">
        <f t="shared" si="526"/>
        <v>2.6105707333725499</v>
      </c>
      <c r="ES340" s="775">
        <f t="shared" si="527"/>
        <v>4.7157727568566123</v>
      </c>
      <c r="ET340" s="775">
        <f t="shared" si="528"/>
        <v>9.2730454729512974</v>
      </c>
      <c r="EU340" s="775">
        <f t="shared" si="529"/>
        <v>2.5185405066903215</v>
      </c>
      <c r="EV340" s="775">
        <f t="shared" si="530"/>
        <v>3.581795716214994</v>
      </c>
      <c r="EW340" s="775">
        <f t="shared" si="531"/>
        <v>40.44068645877929</v>
      </c>
      <c r="EX340" s="775">
        <f t="shared" si="532"/>
        <v>6.5556992308286119</v>
      </c>
      <c r="EY340" s="775">
        <f t="shared" si="559"/>
        <v>35.088425154364522</v>
      </c>
      <c r="EZ340" s="775">
        <f t="shared" si="533"/>
        <v>15.949284161074781</v>
      </c>
      <c r="FA340" s="775">
        <f t="shared" si="534"/>
        <v>5.3888297475867271</v>
      </c>
      <c r="FB340" s="775">
        <f t="shared" si="535"/>
        <v>3.8675513406525237</v>
      </c>
      <c r="FC340" s="775"/>
      <c r="FD340" s="775"/>
      <c r="FE340" s="775"/>
      <c r="FF340" s="775"/>
      <c r="FG340" s="775"/>
      <c r="FH340" s="775"/>
      <c r="FI340" s="775"/>
      <c r="FJ340" s="775"/>
      <c r="FK340" s="775" t="b">
        <f t="shared" si="560"/>
        <v>0</v>
      </c>
      <c r="FL340" s="775">
        <f t="shared" si="536"/>
        <v>27.599115356481654</v>
      </c>
      <c r="FM340" s="775">
        <v>80</v>
      </c>
      <c r="FN340" s="775">
        <f t="shared" si="561"/>
        <v>10</v>
      </c>
      <c r="FO340" s="673">
        <f t="shared" si="480"/>
        <v>37.599115356481654</v>
      </c>
      <c r="FP340" s="673">
        <f t="shared" si="537"/>
        <v>31.576723317281619</v>
      </c>
      <c r="FQ340" s="775" t="b">
        <f t="shared" si="538"/>
        <v>1</v>
      </c>
      <c r="FR340" s="673"/>
      <c r="FS340" s="775">
        <f t="shared" si="539"/>
        <v>37.599115356481654</v>
      </c>
      <c r="FT340" s="775">
        <f t="shared" si="540"/>
        <v>0.19738316838885631</v>
      </c>
      <c r="FU340" s="775">
        <f t="shared" si="541"/>
        <v>9.6943216226108922E-3</v>
      </c>
      <c r="FV340" s="775">
        <f t="shared" si="542"/>
        <v>7.9513514834906456</v>
      </c>
      <c r="FW340" s="775">
        <f t="shared" si="543"/>
        <v>4.2551528340167648</v>
      </c>
      <c r="FX340" s="775">
        <f t="shared" si="544"/>
        <v>47.373942953102294</v>
      </c>
      <c r="FY340" s="775">
        <f t="shared" si="545"/>
        <v>100.63237112154823</v>
      </c>
      <c r="FZ340" s="775">
        <f t="shared" si="546"/>
        <v>26.538350667525677</v>
      </c>
      <c r="GA340" s="775">
        <f t="shared" si="547"/>
        <v>41.70450056731022</v>
      </c>
      <c r="GB340" s="775">
        <f t="shared" si="548"/>
        <v>277.12596841795425</v>
      </c>
      <c r="GC340" s="775">
        <f t="shared" si="549"/>
        <v>40.038993112556398</v>
      </c>
      <c r="GD340" s="775">
        <f t="shared" si="550"/>
        <v>10.201570124010212</v>
      </c>
      <c r="GE340" s="775">
        <f t="shared" si="551"/>
        <v>4.6370773290955505</v>
      </c>
      <c r="GF340" s="775">
        <f t="shared" si="552"/>
        <v>40.693846128082022</v>
      </c>
      <c r="GG340" s="775">
        <f t="shared" si="553"/>
        <v>37.599115356481654</v>
      </c>
    </row>
    <row r="341" spans="70:189">
      <c r="BR341" s="775"/>
      <c r="BS341" s="775"/>
      <c r="BT341" s="775"/>
      <c r="BU341" s="775"/>
      <c r="BV341" s="775"/>
      <c r="BW341" s="775"/>
      <c r="BX341" s="775"/>
      <c r="BY341" s="775" t="b">
        <f t="shared" si="554"/>
        <v>0</v>
      </c>
      <c r="BZ341" s="775">
        <f t="shared" si="481"/>
        <v>35.092195354118317</v>
      </c>
      <c r="CA341" s="775">
        <v>81</v>
      </c>
      <c r="CB341" s="775">
        <f t="shared" si="562"/>
        <v>40.5</v>
      </c>
      <c r="CC341" s="673">
        <f t="shared" si="482"/>
        <v>5.4078046458816837</v>
      </c>
      <c r="CD341" s="91">
        <f t="shared" si="483"/>
        <v>2</v>
      </c>
      <c r="CE341" s="775" t="b">
        <f t="shared" si="484"/>
        <v>0</v>
      </c>
      <c r="CF341" s="673"/>
      <c r="CG341" s="775">
        <f t="shared" si="485"/>
        <v>5.4078046458816837</v>
      </c>
      <c r="CH341" s="775">
        <f t="shared" si="486"/>
        <v>3.1961074735219155E-2</v>
      </c>
      <c r="CI341" s="775">
        <f t="shared" si="487"/>
        <v>2.1376829508202139E-3</v>
      </c>
      <c r="CJ341" s="775">
        <f t="shared" si="488"/>
        <v>5.2971529052518198</v>
      </c>
      <c r="CK341" s="775">
        <f t="shared" si="489"/>
        <v>2.611407431814122</v>
      </c>
      <c r="CL341" s="775">
        <f t="shared" si="490"/>
        <v>4.7301471565668631</v>
      </c>
      <c r="CM341" s="775">
        <f t="shared" si="491"/>
        <v>9.3013111399017951</v>
      </c>
      <c r="CN341" s="775">
        <f t="shared" si="492"/>
        <v>2.5225926847131803</v>
      </c>
      <c r="CO341" s="775">
        <f t="shared" si="493"/>
        <v>3.5874116507635443</v>
      </c>
      <c r="CP341" s="775">
        <f t="shared" si="494"/>
        <v>39.951343419023942</v>
      </c>
      <c r="CQ341" s="775">
        <f t="shared" si="495"/>
        <v>6.4763735301483001</v>
      </c>
      <c r="CR341" s="775">
        <f t="shared" si="555"/>
        <v>35.518204860272697</v>
      </c>
      <c r="CS341" s="775">
        <f t="shared" si="496"/>
        <v>16.144638572851225</v>
      </c>
      <c r="CT341" s="775">
        <f t="shared" si="497"/>
        <v>5.4078046458816837</v>
      </c>
      <c r="CU341" s="775">
        <f t="shared" si="498"/>
        <v>3.8752058874974376</v>
      </c>
      <c r="CV341" s="775"/>
      <c r="CW341" s="775"/>
      <c r="CX341" s="775"/>
      <c r="CY341" s="775"/>
      <c r="CZ341" s="775"/>
      <c r="DA341" s="775"/>
      <c r="DB341" s="775"/>
      <c r="DC341" s="775"/>
      <c r="DD341" s="775" t="b">
        <f t="shared" si="556"/>
        <v>0</v>
      </c>
      <c r="DE341" s="775">
        <f t="shared" si="499"/>
        <v>26.182770290192586</v>
      </c>
      <c r="DF341" s="775">
        <v>81</v>
      </c>
      <c r="DG341" s="775">
        <f t="shared" si="557"/>
        <v>9.5</v>
      </c>
      <c r="DH341" s="673">
        <f t="shared" si="500"/>
        <v>35.682770290192586</v>
      </c>
      <c r="DI341" s="673">
        <f t="shared" si="501"/>
        <v>26</v>
      </c>
      <c r="DJ341" s="775" t="b">
        <f t="shared" si="502"/>
        <v>1</v>
      </c>
      <c r="DK341" s="673"/>
      <c r="DL341" s="775">
        <f t="shared" si="503"/>
        <v>35.682770290192586</v>
      </c>
      <c r="DM341" s="775">
        <f t="shared" si="504"/>
        <v>0.20870101298208948</v>
      </c>
      <c r="DN341" s="775">
        <f t="shared" si="505"/>
        <v>1.025018880448416E-2</v>
      </c>
      <c r="DO341" s="775">
        <f t="shared" si="506"/>
        <v>7.8668383795832275</v>
      </c>
      <c r="DP341" s="775">
        <f t="shared" si="507"/>
        <v>4.2309250333023662</v>
      </c>
      <c r="DQ341" s="775">
        <f t="shared" si="508"/>
        <v>38.467344663045026</v>
      </c>
      <c r="DR341" s="775">
        <f t="shared" si="509"/>
        <v>81.712854427679801</v>
      </c>
      <c r="DS341" s="775">
        <f t="shared" si="510"/>
        <v>26.305299663327041</v>
      </c>
      <c r="DT341" s="775">
        <f t="shared" si="511"/>
        <v>41.372884127488611</v>
      </c>
      <c r="DU341" s="775">
        <f t="shared" si="512"/>
        <v>293.01622222685364</v>
      </c>
      <c r="DV341" s="775">
        <f t="shared" si="513"/>
        <v>42.334807418387705</v>
      </c>
      <c r="DW341" s="775">
        <f t="shared" si="514"/>
        <v>5.4393602780328703</v>
      </c>
      <c r="DX341" s="775">
        <f t="shared" si="515"/>
        <v>2.4724364900149407</v>
      </c>
      <c r="DY341" s="775">
        <f t="shared" si="516"/>
        <v>35.682770290192586</v>
      </c>
      <c r="DZ341" s="775">
        <f t="shared" si="517"/>
        <v>37.408069701615943</v>
      </c>
      <c r="EA341" s="775"/>
      <c r="EB341" s="775"/>
      <c r="EC341" s="775"/>
      <c r="ED341" s="775"/>
      <c r="EE341" s="775"/>
      <c r="EF341" s="775" t="b">
        <f t="shared" si="558"/>
        <v>0</v>
      </c>
      <c r="EG341" s="775">
        <f t="shared" si="518"/>
        <v>35.092195354118317</v>
      </c>
      <c r="EH341" s="775">
        <v>81</v>
      </c>
      <c r="EI341" s="775">
        <f t="shared" si="563"/>
        <v>40.5</v>
      </c>
      <c r="EJ341" s="673">
        <f t="shared" si="519"/>
        <v>5.4078046458816837</v>
      </c>
      <c r="EK341" s="673">
        <f t="shared" si="520"/>
        <v>2.2510196371999172</v>
      </c>
      <c r="EL341" s="775" t="b">
        <f t="shared" si="521"/>
        <v>0</v>
      </c>
      <c r="EM341" s="673"/>
      <c r="EN341" s="775">
        <f t="shared" si="522"/>
        <v>5.4078046458816837</v>
      </c>
      <c r="EO341" s="775">
        <f t="shared" si="523"/>
        <v>3.1961074735219155E-2</v>
      </c>
      <c r="EP341" s="775">
        <f t="shared" si="524"/>
        <v>2.1376829508202139E-3</v>
      </c>
      <c r="EQ341" s="775">
        <f t="shared" si="525"/>
        <v>5.2971529052518198</v>
      </c>
      <c r="ER341" s="775">
        <f t="shared" si="526"/>
        <v>2.611407431814122</v>
      </c>
      <c r="ES341" s="775">
        <f t="shared" si="527"/>
        <v>4.7301471565668631</v>
      </c>
      <c r="ET341" s="775">
        <f t="shared" si="528"/>
        <v>9.3013111399017951</v>
      </c>
      <c r="EU341" s="775">
        <f t="shared" si="529"/>
        <v>2.5225926847131803</v>
      </c>
      <c r="EV341" s="775">
        <f t="shared" si="530"/>
        <v>3.5874116507635443</v>
      </c>
      <c r="EW341" s="775">
        <f t="shared" si="531"/>
        <v>39.951343419023942</v>
      </c>
      <c r="EX341" s="775">
        <f t="shared" si="532"/>
        <v>6.4763735301483001</v>
      </c>
      <c r="EY341" s="775">
        <f t="shared" si="559"/>
        <v>35.518204860272697</v>
      </c>
      <c r="EZ341" s="775">
        <f t="shared" si="533"/>
        <v>16.144638572851225</v>
      </c>
      <c r="FA341" s="775">
        <f t="shared" si="534"/>
        <v>5.4078046458816837</v>
      </c>
      <c r="FB341" s="775">
        <f t="shared" si="535"/>
        <v>3.8752058874974376</v>
      </c>
      <c r="FC341" s="775"/>
      <c r="FD341" s="775"/>
      <c r="FE341" s="775"/>
      <c r="FF341" s="775"/>
      <c r="FG341" s="775"/>
      <c r="FH341" s="775"/>
      <c r="FI341" s="775"/>
      <c r="FJ341" s="775"/>
      <c r="FK341" s="775" t="b">
        <f t="shared" si="560"/>
        <v>0</v>
      </c>
      <c r="FL341" s="775">
        <f t="shared" si="536"/>
        <v>27.908069701615943</v>
      </c>
      <c r="FM341" s="775">
        <v>81</v>
      </c>
      <c r="FN341" s="775">
        <f t="shared" si="561"/>
        <v>9.5</v>
      </c>
      <c r="FO341" s="673">
        <f t="shared" si="480"/>
        <v>37.408069701615943</v>
      </c>
      <c r="FP341" s="673">
        <f t="shared" si="537"/>
        <v>31.576723317281619</v>
      </c>
      <c r="FQ341" s="775" t="b">
        <f t="shared" si="538"/>
        <v>1</v>
      </c>
      <c r="FR341" s="673"/>
      <c r="FS341" s="775">
        <f t="shared" si="539"/>
        <v>37.408069701615943</v>
      </c>
      <c r="FT341" s="775">
        <f t="shared" si="540"/>
        <v>0.20870101298208948</v>
      </c>
      <c r="FU341" s="775">
        <f t="shared" si="541"/>
        <v>1.025018880448416E-2</v>
      </c>
      <c r="FV341" s="775">
        <f t="shared" si="542"/>
        <v>7.8668383795832275</v>
      </c>
      <c r="FW341" s="775">
        <f t="shared" si="543"/>
        <v>4.2309250333023662</v>
      </c>
      <c r="FX341" s="775">
        <f t="shared" si="544"/>
        <v>46.718180737518558</v>
      </c>
      <c r="FY341" s="775">
        <f t="shared" si="545"/>
        <v>99.239392143390603</v>
      </c>
      <c r="FZ341" s="775">
        <f t="shared" si="546"/>
        <v>26.305299663327041</v>
      </c>
      <c r="GA341" s="775">
        <f t="shared" si="547"/>
        <v>41.372884127488611</v>
      </c>
      <c r="GB341" s="775">
        <f t="shared" si="548"/>
        <v>293.01622222685364</v>
      </c>
      <c r="GC341" s="775">
        <f t="shared" si="549"/>
        <v>42.334807418387705</v>
      </c>
      <c r="GD341" s="775">
        <f t="shared" si="550"/>
        <v>9.6483395305371129</v>
      </c>
      <c r="GE341" s="775">
        <f t="shared" si="551"/>
        <v>4.3856088775168693</v>
      </c>
      <c r="GF341" s="775">
        <f t="shared" si="552"/>
        <v>40.351680498736187</v>
      </c>
      <c r="GG341" s="775">
        <f t="shared" si="553"/>
        <v>37.408069701615943</v>
      </c>
    </row>
    <row r="342" spans="70:189">
      <c r="BR342" s="775"/>
      <c r="BS342" s="775"/>
      <c r="BT342" s="775"/>
      <c r="BU342" s="775"/>
      <c r="BV342" s="775"/>
      <c r="BW342" s="775"/>
      <c r="BX342" s="775"/>
      <c r="BY342" s="775" t="b">
        <f t="shared" si="554"/>
        <v>0</v>
      </c>
      <c r="BZ342" s="775">
        <f t="shared" si="481"/>
        <v>35.573404009022539</v>
      </c>
      <c r="CA342" s="775">
        <v>82</v>
      </c>
      <c r="CB342" s="775">
        <f t="shared" si="562"/>
        <v>41</v>
      </c>
      <c r="CC342" s="673">
        <f t="shared" si="482"/>
        <v>5.4265959909774617</v>
      </c>
      <c r="CD342" s="91">
        <f t="shared" si="483"/>
        <v>2</v>
      </c>
      <c r="CE342" s="775" t="b">
        <f t="shared" si="484"/>
        <v>0</v>
      </c>
      <c r="CF342" s="673"/>
      <c r="CG342" s="775">
        <f t="shared" si="485"/>
        <v>5.4265959909774617</v>
      </c>
      <c r="CH342" s="775">
        <f t="shared" si="486"/>
        <v>3.1579054138695779E-2</v>
      </c>
      <c r="CI342" s="775">
        <f t="shared" si="487"/>
        <v>2.1121319040292154E-3</v>
      </c>
      <c r="CJ342" s="775">
        <f t="shared" si="488"/>
        <v>5.3005835444780685</v>
      </c>
      <c r="CK342" s="775">
        <f t="shared" si="489"/>
        <v>2.6122247006459145</v>
      </c>
      <c r="CL342" s="775">
        <f t="shared" si="490"/>
        <v>4.7443881905238108</v>
      </c>
      <c r="CM342" s="775">
        <f t="shared" si="491"/>
        <v>9.3293145578511876</v>
      </c>
      <c r="CN342" s="775">
        <f t="shared" si="492"/>
        <v>2.5266009307276791</v>
      </c>
      <c r="CO342" s="775">
        <f t="shared" si="493"/>
        <v>3.5929668528771082</v>
      </c>
      <c r="CP342" s="775">
        <f t="shared" si="494"/>
        <v>39.473817673369723</v>
      </c>
      <c r="CQ342" s="775">
        <f t="shared" si="495"/>
        <v>6.3989634899731138</v>
      </c>
      <c r="CR342" s="775">
        <f t="shared" si="555"/>
        <v>35.947878458112804</v>
      </c>
      <c r="CS342" s="775">
        <f t="shared" si="496"/>
        <v>16.339944753687636</v>
      </c>
      <c r="CT342" s="775">
        <f t="shared" si="497"/>
        <v>5.4265959909774617</v>
      </c>
      <c r="CU342" s="775">
        <f t="shared" si="498"/>
        <v>3.8827764565402982</v>
      </c>
      <c r="CV342" s="775"/>
      <c r="CW342" s="775"/>
      <c r="CX342" s="775"/>
      <c r="CY342" s="775"/>
      <c r="CZ342" s="775"/>
      <c r="DA342" s="775"/>
      <c r="DB342" s="775"/>
      <c r="DC342" s="775"/>
      <c r="DD342" s="775" t="b">
        <f t="shared" si="556"/>
        <v>0</v>
      </c>
      <c r="DE342" s="775">
        <f t="shared" si="499"/>
        <v>26.338599761135633</v>
      </c>
      <c r="DF342" s="775">
        <v>82</v>
      </c>
      <c r="DG342" s="775">
        <f t="shared" si="557"/>
        <v>9</v>
      </c>
      <c r="DH342" s="673">
        <f t="shared" si="500"/>
        <v>35.338599761135633</v>
      </c>
      <c r="DI342" s="673">
        <f t="shared" si="501"/>
        <v>26</v>
      </c>
      <c r="DJ342" s="775" t="b">
        <f t="shared" si="502"/>
        <v>1</v>
      </c>
      <c r="DK342" s="673"/>
      <c r="DL342" s="775">
        <f t="shared" si="503"/>
        <v>35.338599761135633</v>
      </c>
      <c r="DM342" s="775">
        <f t="shared" si="504"/>
        <v>0.22133419134588794</v>
      </c>
      <c r="DN342" s="775">
        <f t="shared" si="505"/>
        <v>1.0870657586975269E-2</v>
      </c>
      <c r="DO342" s="775">
        <f t="shared" si="506"/>
        <v>7.7752110753025319</v>
      </c>
      <c r="DP342" s="775">
        <f t="shared" si="507"/>
        <v>4.2043642869918045</v>
      </c>
      <c r="DQ342" s="775">
        <f t="shared" si="508"/>
        <v>37.906284770729307</v>
      </c>
      <c r="DR342" s="775">
        <f t="shared" si="509"/>
        <v>80.52104340699222</v>
      </c>
      <c r="DS342" s="775">
        <f t="shared" si="510"/>
        <v>26.061324148961077</v>
      </c>
      <c r="DT342" s="775">
        <f t="shared" si="511"/>
        <v>41.025649069456485</v>
      </c>
      <c r="DU342" s="775">
        <f t="shared" si="512"/>
        <v>310.7532046496267</v>
      </c>
      <c r="DV342" s="775">
        <f t="shared" si="513"/>
        <v>44.897435962789878</v>
      </c>
      <c r="DW342" s="775">
        <f t="shared" si="514"/>
        <v>5.1288957801642887</v>
      </c>
      <c r="DX342" s="775">
        <f t="shared" si="515"/>
        <v>2.3313162637110403</v>
      </c>
      <c r="DY342" s="775">
        <f t="shared" si="516"/>
        <v>35.338599761135633</v>
      </c>
      <c r="DZ342" s="775">
        <f t="shared" si="517"/>
        <v>37.20676831480899</v>
      </c>
      <c r="EA342" s="775"/>
      <c r="EB342" s="775"/>
      <c r="EC342" s="775"/>
      <c r="ED342" s="775"/>
      <c r="EE342" s="775"/>
      <c r="EF342" s="775" t="b">
        <f t="shared" si="558"/>
        <v>0</v>
      </c>
      <c r="EG342" s="775">
        <f t="shared" si="518"/>
        <v>35.573404009022539</v>
      </c>
      <c r="EH342" s="775">
        <v>82</v>
      </c>
      <c r="EI342" s="775">
        <f t="shared" si="563"/>
        <v>41</v>
      </c>
      <c r="EJ342" s="673">
        <f t="shared" si="519"/>
        <v>5.4265959909774617</v>
      </c>
      <c r="EK342" s="673">
        <f t="shared" si="520"/>
        <v>2.2510196371999172</v>
      </c>
      <c r="EL342" s="775" t="b">
        <f t="shared" si="521"/>
        <v>0</v>
      </c>
      <c r="EM342" s="673"/>
      <c r="EN342" s="775">
        <f t="shared" si="522"/>
        <v>5.4265959909774617</v>
      </c>
      <c r="EO342" s="775">
        <f t="shared" si="523"/>
        <v>3.1579054138695779E-2</v>
      </c>
      <c r="EP342" s="775">
        <f t="shared" si="524"/>
        <v>2.1121319040292154E-3</v>
      </c>
      <c r="EQ342" s="775">
        <f t="shared" si="525"/>
        <v>5.3005835444780685</v>
      </c>
      <c r="ER342" s="775">
        <f t="shared" si="526"/>
        <v>2.6122247006459145</v>
      </c>
      <c r="ES342" s="775">
        <f t="shared" si="527"/>
        <v>4.7443881905238108</v>
      </c>
      <c r="ET342" s="775">
        <f t="shared" si="528"/>
        <v>9.3293145578511876</v>
      </c>
      <c r="EU342" s="775">
        <f t="shared" si="529"/>
        <v>2.5266009307276791</v>
      </c>
      <c r="EV342" s="775">
        <f t="shared" si="530"/>
        <v>3.5929668528771082</v>
      </c>
      <c r="EW342" s="775">
        <f t="shared" si="531"/>
        <v>39.473817673369723</v>
      </c>
      <c r="EX342" s="775">
        <f t="shared" si="532"/>
        <v>6.3989634899731138</v>
      </c>
      <c r="EY342" s="775">
        <f t="shared" si="559"/>
        <v>35.947878458112804</v>
      </c>
      <c r="EZ342" s="775">
        <f t="shared" si="533"/>
        <v>16.339944753687636</v>
      </c>
      <c r="FA342" s="775">
        <f t="shared" si="534"/>
        <v>5.4265959909774617</v>
      </c>
      <c r="FB342" s="775">
        <f t="shared" si="535"/>
        <v>3.8827764565402982</v>
      </c>
      <c r="FC342" s="775"/>
      <c r="FD342" s="775"/>
      <c r="FE342" s="775"/>
      <c r="FF342" s="775"/>
      <c r="FG342" s="775"/>
      <c r="FH342" s="775"/>
      <c r="FI342" s="775"/>
      <c r="FJ342" s="775"/>
      <c r="FK342" s="775" t="b">
        <f t="shared" si="560"/>
        <v>0</v>
      </c>
      <c r="FL342" s="775">
        <f t="shared" si="536"/>
        <v>28.20676831480899</v>
      </c>
      <c r="FM342" s="775">
        <v>82</v>
      </c>
      <c r="FN342" s="775">
        <f t="shared" si="561"/>
        <v>9</v>
      </c>
      <c r="FO342" s="673">
        <f t="shared" si="480"/>
        <v>37.20676831480899</v>
      </c>
      <c r="FP342" s="673">
        <f t="shared" si="537"/>
        <v>31.576723317281619</v>
      </c>
      <c r="FQ342" s="775" t="b">
        <f t="shared" si="538"/>
        <v>1</v>
      </c>
      <c r="FR342" s="673"/>
      <c r="FS342" s="775">
        <f t="shared" si="539"/>
        <v>37.20676831480899</v>
      </c>
      <c r="FT342" s="775">
        <f t="shared" si="540"/>
        <v>0.22133419134588794</v>
      </c>
      <c r="FU342" s="775">
        <f t="shared" si="541"/>
        <v>1.0870657586975269E-2</v>
      </c>
      <c r="FV342" s="775">
        <f t="shared" si="542"/>
        <v>7.7752110753025319</v>
      </c>
      <c r="FW342" s="775">
        <f t="shared" si="543"/>
        <v>4.2043642869918045</v>
      </c>
      <c r="FX342" s="775">
        <f t="shared" si="544"/>
        <v>46.0367794689002</v>
      </c>
      <c r="FY342" s="775">
        <f t="shared" si="545"/>
        <v>97.791950341592951</v>
      </c>
      <c r="FZ342" s="775">
        <f t="shared" si="546"/>
        <v>26.061324148961077</v>
      </c>
      <c r="GA342" s="775">
        <f t="shared" si="547"/>
        <v>41.025649069456485</v>
      </c>
      <c r="GB342" s="775">
        <f t="shared" si="548"/>
        <v>310.7532046496267</v>
      </c>
      <c r="GC342" s="775">
        <f t="shared" si="549"/>
        <v>44.897435962789878</v>
      </c>
      <c r="GD342" s="775">
        <f t="shared" si="550"/>
        <v>9.0976374746885362</v>
      </c>
      <c r="GE342" s="775">
        <f t="shared" si="551"/>
        <v>4.1352897612220616</v>
      </c>
      <c r="GF342" s="775">
        <f t="shared" si="552"/>
        <v>39.991928812397553</v>
      </c>
      <c r="GG342" s="775">
        <f t="shared" si="553"/>
        <v>37.20676831480899</v>
      </c>
    </row>
    <row r="343" spans="70:189">
      <c r="BR343" s="775"/>
      <c r="BS343" s="775"/>
      <c r="BT343" s="775"/>
      <c r="BU343" s="775"/>
      <c r="BV343" s="775"/>
      <c r="BW343" s="775"/>
      <c r="BX343" s="775"/>
      <c r="BY343" s="775" t="b">
        <f t="shared" si="554"/>
        <v>0</v>
      </c>
      <c r="BZ343" s="775">
        <f t="shared" si="481"/>
        <v>36.054792255839686</v>
      </c>
      <c r="CA343" s="775">
        <v>83</v>
      </c>
      <c r="CB343" s="775">
        <f t="shared" si="562"/>
        <v>41.5</v>
      </c>
      <c r="CC343" s="673">
        <f t="shared" si="482"/>
        <v>5.4452077441603102</v>
      </c>
      <c r="CD343" s="91">
        <f t="shared" si="483"/>
        <v>2</v>
      </c>
      <c r="CE343" s="775" t="b">
        <f t="shared" si="484"/>
        <v>0</v>
      </c>
      <c r="CF343" s="673"/>
      <c r="CG343" s="775">
        <f t="shared" si="485"/>
        <v>5.4452077441603102</v>
      </c>
      <c r="CH343" s="775">
        <f t="shared" si="486"/>
        <v>3.1206147909363543E-2</v>
      </c>
      <c r="CI343" s="775">
        <f t="shared" si="487"/>
        <v>2.0871904621252058E-3</v>
      </c>
      <c r="CJ343" s="775">
        <f t="shared" si="488"/>
        <v>5.3039379117216878</v>
      </c>
      <c r="CK343" s="775">
        <f t="shared" si="489"/>
        <v>2.6130232113538394</v>
      </c>
      <c r="CL343" s="775">
        <f t="shared" si="490"/>
        <v>4.758498700120593</v>
      </c>
      <c r="CM343" s="775">
        <f t="shared" si="491"/>
        <v>9.3570613140847723</v>
      </c>
      <c r="CN343" s="775">
        <f t="shared" si="492"/>
        <v>2.5305662487171685</v>
      </c>
      <c r="CO343" s="775">
        <f t="shared" si="493"/>
        <v>3.5984627086358567</v>
      </c>
      <c r="CP343" s="775">
        <f t="shared" si="494"/>
        <v>39.007684886704432</v>
      </c>
      <c r="CQ343" s="775">
        <f t="shared" si="495"/>
        <v>6.323400322811735</v>
      </c>
      <c r="CR343" s="775">
        <f t="shared" si="555"/>
        <v>36.377447267670554</v>
      </c>
      <c r="CS343" s="775">
        <f t="shared" si="496"/>
        <v>16.535203303486615</v>
      </c>
      <c r="CT343" s="775">
        <f t="shared" si="497"/>
        <v>5.4452077441603102</v>
      </c>
      <c r="CU343" s="775">
        <f t="shared" si="498"/>
        <v>3.8902649756669589</v>
      </c>
      <c r="CV343" s="775"/>
      <c r="CW343" s="775"/>
      <c r="CX343" s="775"/>
      <c r="CY343" s="775"/>
      <c r="CZ343" s="775"/>
      <c r="DA343" s="775"/>
      <c r="DB343" s="775"/>
      <c r="DC343" s="775"/>
      <c r="DD343" s="775" t="b">
        <f t="shared" si="556"/>
        <v>0</v>
      </c>
      <c r="DE343" s="775">
        <f t="shared" si="499"/>
        <v>26.476272181445438</v>
      </c>
      <c r="DF343" s="775">
        <v>83</v>
      </c>
      <c r="DG343" s="775">
        <f t="shared" si="557"/>
        <v>8.5</v>
      </c>
      <c r="DH343" s="673">
        <f t="shared" si="500"/>
        <v>34.976272181445438</v>
      </c>
      <c r="DI343" s="673">
        <f t="shared" si="501"/>
        <v>26</v>
      </c>
      <c r="DJ343" s="775" t="b">
        <f t="shared" si="502"/>
        <v>1</v>
      </c>
      <c r="DK343" s="673"/>
      <c r="DL343" s="775">
        <f t="shared" si="503"/>
        <v>34.976272181445438</v>
      </c>
      <c r="DM343" s="775">
        <f t="shared" si="504"/>
        <v>0.23552214269229504</v>
      </c>
      <c r="DN343" s="775">
        <f t="shared" si="505"/>
        <v>1.1567487841756969E-2</v>
      </c>
      <c r="DO343" s="775">
        <f t="shared" si="506"/>
        <v>7.6755482758023188</v>
      </c>
      <c r="DP343" s="775">
        <f t="shared" si="507"/>
        <v>4.1751229148400162</v>
      </c>
      <c r="DQ343" s="775">
        <f t="shared" si="508"/>
        <v>37.322043269429138</v>
      </c>
      <c r="DR343" s="775">
        <f t="shared" si="509"/>
        <v>79.279989698592814</v>
      </c>
      <c r="DS343" s="775">
        <f t="shared" si="510"/>
        <v>25.805263103200389</v>
      </c>
      <c r="DT343" s="775">
        <f t="shared" si="511"/>
        <v>40.661127412884071</v>
      </c>
      <c r="DU343" s="775">
        <f t="shared" si="512"/>
        <v>330.67308833998226</v>
      </c>
      <c r="DV343" s="775">
        <f t="shared" si="513"/>
        <v>47.775448768425591</v>
      </c>
      <c r="DW343" s="775">
        <f t="shared" si="514"/>
        <v>4.8199289757783665</v>
      </c>
      <c r="DX343" s="775">
        <f t="shared" si="515"/>
        <v>2.1908768071719846</v>
      </c>
      <c r="DY343" s="775">
        <f t="shared" si="516"/>
        <v>34.976272181445438</v>
      </c>
      <c r="DZ343" s="775">
        <f t="shared" si="517"/>
        <v>36.994047606162617</v>
      </c>
      <c r="EA343" s="775"/>
      <c r="EB343" s="775"/>
      <c r="EC343" s="775"/>
      <c r="ED343" s="775"/>
      <c r="EE343" s="775"/>
      <c r="EF343" s="775" t="b">
        <f t="shared" si="558"/>
        <v>0</v>
      </c>
      <c r="EG343" s="775">
        <f t="shared" si="518"/>
        <v>36.054792255839686</v>
      </c>
      <c r="EH343" s="775">
        <v>83</v>
      </c>
      <c r="EI343" s="775">
        <f t="shared" si="563"/>
        <v>41.5</v>
      </c>
      <c r="EJ343" s="673">
        <f t="shared" si="519"/>
        <v>5.4452077441603102</v>
      </c>
      <c r="EK343" s="673">
        <f t="shared" si="520"/>
        <v>2.2510196371999172</v>
      </c>
      <c r="EL343" s="775" t="b">
        <f t="shared" si="521"/>
        <v>0</v>
      </c>
      <c r="EM343" s="673"/>
      <c r="EN343" s="775">
        <f t="shared" si="522"/>
        <v>5.4452077441603102</v>
      </c>
      <c r="EO343" s="775">
        <f t="shared" si="523"/>
        <v>3.1206147909363543E-2</v>
      </c>
      <c r="EP343" s="775">
        <f t="shared" si="524"/>
        <v>2.0871904621252058E-3</v>
      </c>
      <c r="EQ343" s="775">
        <f t="shared" si="525"/>
        <v>5.3039379117216878</v>
      </c>
      <c r="ER343" s="775">
        <f t="shared" si="526"/>
        <v>2.6130232113538394</v>
      </c>
      <c r="ES343" s="775">
        <f t="shared" si="527"/>
        <v>4.758498700120593</v>
      </c>
      <c r="ET343" s="775">
        <f t="shared" si="528"/>
        <v>9.3570613140847723</v>
      </c>
      <c r="EU343" s="775">
        <f t="shared" si="529"/>
        <v>2.5305662487171685</v>
      </c>
      <c r="EV343" s="775">
        <f t="shared" si="530"/>
        <v>3.5984627086358567</v>
      </c>
      <c r="EW343" s="775">
        <f t="shared" si="531"/>
        <v>39.007684886704432</v>
      </c>
      <c r="EX343" s="775">
        <f t="shared" si="532"/>
        <v>6.323400322811735</v>
      </c>
      <c r="EY343" s="775">
        <f t="shared" si="559"/>
        <v>36.377447267670554</v>
      </c>
      <c r="EZ343" s="775">
        <f t="shared" si="533"/>
        <v>16.535203303486615</v>
      </c>
      <c r="FA343" s="775">
        <f t="shared" si="534"/>
        <v>5.4452077441603102</v>
      </c>
      <c r="FB343" s="775">
        <f t="shared" si="535"/>
        <v>3.8902649756669589</v>
      </c>
      <c r="FC343" s="775"/>
      <c r="FD343" s="775"/>
      <c r="FE343" s="775"/>
      <c r="FF343" s="775"/>
      <c r="FG343" s="775"/>
      <c r="FH343" s="775"/>
      <c r="FI343" s="775"/>
      <c r="FJ343" s="775"/>
      <c r="FK343" s="775" t="b">
        <f t="shared" si="560"/>
        <v>0</v>
      </c>
      <c r="FL343" s="775">
        <f t="shared" si="536"/>
        <v>28.494047606162617</v>
      </c>
      <c r="FM343" s="775">
        <v>83</v>
      </c>
      <c r="FN343" s="775">
        <f t="shared" si="561"/>
        <v>8.5</v>
      </c>
      <c r="FO343" s="673">
        <f t="shared" si="480"/>
        <v>36.994047606162617</v>
      </c>
      <c r="FP343" s="673">
        <f t="shared" si="537"/>
        <v>31.576723317281619</v>
      </c>
      <c r="FQ343" s="775" t="b">
        <f t="shared" si="538"/>
        <v>1</v>
      </c>
      <c r="FR343" s="673"/>
      <c r="FS343" s="775">
        <f t="shared" si="539"/>
        <v>36.994047606162617</v>
      </c>
      <c r="FT343" s="775">
        <f t="shared" si="540"/>
        <v>0.23552214269229504</v>
      </c>
      <c r="FU343" s="775">
        <f t="shared" si="541"/>
        <v>1.1567487841756969E-2</v>
      </c>
      <c r="FV343" s="775">
        <f t="shared" si="542"/>
        <v>7.6755482758023188</v>
      </c>
      <c r="FW343" s="775">
        <f t="shared" si="543"/>
        <v>4.1751229148400162</v>
      </c>
      <c r="FX343" s="775">
        <f t="shared" si="544"/>
        <v>45.327224382860642</v>
      </c>
      <c r="FY343" s="775">
        <f t="shared" si="545"/>
        <v>96.284703819592409</v>
      </c>
      <c r="FZ343" s="775">
        <f t="shared" si="546"/>
        <v>25.805263103200389</v>
      </c>
      <c r="GA343" s="775">
        <f t="shared" si="547"/>
        <v>40.661127412884071</v>
      </c>
      <c r="GB343" s="775">
        <f t="shared" si="548"/>
        <v>330.67308833998226</v>
      </c>
      <c r="GC343" s="775">
        <f t="shared" si="549"/>
        <v>47.775448768425591</v>
      </c>
      <c r="GD343" s="775">
        <f t="shared" si="550"/>
        <v>8.5495920281643549</v>
      </c>
      <c r="GE343" s="775">
        <f t="shared" si="551"/>
        <v>3.886178194620161</v>
      </c>
      <c r="GF343" s="775">
        <f t="shared" si="552"/>
        <v>39.61267179934903</v>
      </c>
      <c r="GG343" s="775">
        <f t="shared" si="553"/>
        <v>36.994047606162617</v>
      </c>
    </row>
    <row r="344" spans="70:189">
      <c r="BR344" s="775"/>
      <c r="BS344" s="775"/>
      <c r="BT344" s="775"/>
      <c r="BU344" s="775"/>
      <c r="BV344" s="775"/>
      <c r="BW344" s="775"/>
      <c r="BX344" s="775"/>
      <c r="BY344" s="775" t="b">
        <f t="shared" si="554"/>
        <v>0</v>
      </c>
      <c r="BZ344" s="775">
        <f t="shared" si="481"/>
        <v>36.536356265111891</v>
      </c>
      <c r="CA344" s="775">
        <v>84</v>
      </c>
      <c r="CB344" s="775">
        <f t="shared" si="562"/>
        <v>42</v>
      </c>
      <c r="CC344" s="673">
        <f t="shared" si="482"/>
        <v>5.4636437348881115</v>
      </c>
      <c r="CD344" s="91">
        <f t="shared" si="483"/>
        <v>2</v>
      </c>
      <c r="CE344" s="775" t="b">
        <f t="shared" si="484"/>
        <v>0</v>
      </c>
      <c r="CF344" s="673"/>
      <c r="CG344" s="775">
        <f t="shared" si="485"/>
        <v>5.4636437348881115</v>
      </c>
      <c r="CH344" s="775">
        <f t="shared" si="486"/>
        <v>3.08420326653885E-2</v>
      </c>
      <c r="CI344" s="775">
        <f t="shared" si="487"/>
        <v>2.0628369960535068E-3</v>
      </c>
      <c r="CJ344" s="775">
        <f t="shared" si="488"/>
        <v>5.3072185330563153</v>
      </c>
      <c r="CK344" s="775">
        <f t="shared" si="489"/>
        <v>2.6138036047739868</v>
      </c>
      <c r="CL344" s="775">
        <f t="shared" si="490"/>
        <v>4.7724814328582967</v>
      </c>
      <c r="CM344" s="775">
        <f t="shared" si="491"/>
        <v>9.3845568112595092</v>
      </c>
      <c r="CN344" s="775">
        <f t="shared" si="492"/>
        <v>2.5344896079565649</v>
      </c>
      <c r="CO344" s="775">
        <f t="shared" si="493"/>
        <v>3.6039005562453554</v>
      </c>
      <c r="CP344" s="775">
        <f t="shared" si="494"/>
        <v>38.552540831735627</v>
      </c>
      <c r="CQ344" s="775">
        <f t="shared" si="495"/>
        <v>6.2496185007816729</v>
      </c>
      <c r="CR344" s="775">
        <f t="shared" si="555"/>
        <v>36.806912576613101</v>
      </c>
      <c r="CS344" s="775">
        <f t="shared" si="496"/>
        <v>16.730414807551409</v>
      </c>
      <c r="CT344" s="775">
        <f t="shared" si="497"/>
        <v>5.4636437348881115</v>
      </c>
      <c r="CU344" s="775">
        <f t="shared" si="498"/>
        <v>3.8976733059356561</v>
      </c>
      <c r="CV344" s="775"/>
      <c r="CW344" s="775"/>
      <c r="CX344" s="775"/>
      <c r="CY344" s="775"/>
      <c r="CZ344" s="775"/>
      <c r="DA344" s="775"/>
      <c r="DB344" s="775"/>
      <c r="DC344" s="775"/>
      <c r="DD344" s="775" t="b">
        <f t="shared" si="556"/>
        <v>0</v>
      </c>
      <c r="DE344" s="775">
        <f t="shared" si="499"/>
        <v>26.593716345159123</v>
      </c>
      <c r="DF344" s="775">
        <v>84</v>
      </c>
      <c r="DG344" s="775">
        <f t="shared" si="557"/>
        <v>8</v>
      </c>
      <c r="DH344" s="673">
        <f t="shared" si="500"/>
        <v>34.593716345159123</v>
      </c>
      <c r="DI344" s="673">
        <f t="shared" si="501"/>
        <v>26</v>
      </c>
      <c r="DJ344" s="775" t="b">
        <f t="shared" si="502"/>
        <v>1</v>
      </c>
      <c r="DK344" s="673"/>
      <c r="DL344" s="775">
        <f t="shared" si="503"/>
        <v>34.593716345159123</v>
      </c>
      <c r="DM344" s="775">
        <f t="shared" si="504"/>
        <v>0.25156562681783134</v>
      </c>
      <c r="DN344" s="775">
        <f t="shared" si="505"/>
        <v>1.2355451153571869E-2</v>
      </c>
      <c r="DO344" s="775">
        <f t="shared" si="506"/>
        <v>7.5667634335456135</v>
      </c>
      <c r="DP344" s="775">
        <f t="shared" si="507"/>
        <v>4.1427811593844721</v>
      </c>
      <c r="DQ344" s="775">
        <f t="shared" si="508"/>
        <v>36.712209493733241</v>
      </c>
      <c r="DR344" s="775">
        <f t="shared" si="509"/>
        <v>77.984572534371623</v>
      </c>
      <c r="DS344" s="775">
        <f t="shared" si="510"/>
        <v>25.535754712601655</v>
      </c>
      <c r="DT344" s="775">
        <f t="shared" si="511"/>
        <v>40.277361436716681</v>
      </c>
      <c r="DU344" s="775">
        <f t="shared" si="512"/>
        <v>353.1981400522352</v>
      </c>
      <c r="DV344" s="775">
        <f t="shared" si="513"/>
        <v>51.029854681792322</v>
      </c>
      <c r="DW344" s="775">
        <f t="shared" si="514"/>
        <v>4.5125401842837745</v>
      </c>
      <c r="DX344" s="775">
        <f t="shared" si="515"/>
        <v>2.0511546292198974</v>
      </c>
      <c r="DY344" s="775">
        <f t="shared" si="516"/>
        <v>34.593716345159123</v>
      </c>
      <c r="DZ344" s="775">
        <f t="shared" si="517"/>
        <v>36.76853370260222</v>
      </c>
      <c r="EA344" s="775"/>
      <c r="EB344" s="775"/>
      <c r="EC344" s="775"/>
      <c r="ED344" s="775"/>
      <c r="EE344" s="775"/>
      <c r="EF344" s="775" t="b">
        <f t="shared" si="558"/>
        <v>0</v>
      </c>
      <c r="EG344" s="775">
        <f t="shared" si="518"/>
        <v>36.536356265111891</v>
      </c>
      <c r="EH344" s="775">
        <v>84</v>
      </c>
      <c r="EI344" s="775">
        <f t="shared" si="563"/>
        <v>42</v>
      </c>
      <c r="EJ344" s="673">
        <f t="shared" si="519"/>
        <v>5.4636437348881115</v>
      </c>
      <c r="EK344" s="673">
        <f t="shared" si="520"/>
        <v>2.2510196371999172</v>
      </c>
      <c r="EL344" s="775" t="b">
        <f t="shared" si="521"/>
        <v>0</v>
      </c>
      <c r="EM344" s="673"/>
      <c r="EN344" s="775">
        <f t="shared" si="522"/>
        <v>5.4636437348881115</v>
      </c>
      <c r="EO344" s="775">
        <f t="shared" si="523"/>
        <v>3.08420326653885E-2</v>
      </c>
      <c r="EP344" s="775">
        <f t="shared" si="524"/>
        <v>2.0628369960535068E-3</v>
      </c>
      <c r="EQ344" s="775">
        <f t="shared" si="525"/>
        <v>5.3072185330563153</v>
      </c>
      <c r="ER344" s="775">
        <f t="shared" si="526"/>
        <v>2.6138036047739868</v>
      </c>
      <c r="ES344" s="775">
        <f t="shared" si="527"/>
        <v>4.7724814328582967</v>
      </c>
      <c r="ET344" s="775">
        <f t="shared" si="528"/>
        <v>9.3845568112595092</v>
      </c>
      <c r="EU344" s="775">
        <f t="shared" si="529"/>
        <v>2.5344896079565649</v>
      </c>
      <c r="EV344" s="775">
        <f t="shared" si="530"/>
        <v>3.6039005562453554</v>
      </c>
      <c r="EW344" s="775">
        <f t="shared" si="531"/>
        <v>38.552540831735627</v>
      </c>
      <c r="EX344" s="775">
        <f t="shared" si="532"/>
        <v>6.2496185007816729</v>
      </c>
      <c r="EY344" s="775">
        <f t="shared" si="559"/>
        <v>36.806912576613101</v>
      </c>
      <c r="EZ344" s="775">
        <f t="shared" si="533"/>
        <v>16.730414807551409</v>
      </c>
      <c r="FA344" s="775">
        <f t="shared" si="534"/>
        <v>5.4636437348881115</v>
      </c>
      <c r="FB344" s="775">
        <f t="shared" si="535"/>
        <v>3.8976733059356561</v>
      </c>
      <c r="FC344" s="775"/>
      <c r="FD344" s="775"/>
      <c r="FE344" s="775"/>
      <c r="FF344" s="775"/>
      <c r="FG344" s="775"/>
      <c r="FH344" s="775"/>
      <c r="FI344" s="775"/>
      <c r="FJ344" s="775"/>
      <c r="FK344" s="775" t="b">
        <f t="shared" si="560"/>
        <v>0</v>
      </c>
      <c r="FL344" s="775">
        <f t="shared" si="536"/>
        <v>28.76853370260222</v>
      </c>
      <c r="FM344" s="775">
        <v>84</v>
      </c>
      <c r="FN344" s="775">
        <f t="shared" si="561"/>
        <v>8</v>
      </c>
      <c r="FO344" s="673">
        <f t="shared" si="480"/>
        <v>36.76853370260222</v>
      </c>
      <c r="FP344" s="673">
        <f t="shared" si="537"/>
        <v>31.576723317281619</v>
      </c>
      <c r="FQ344" s="775" t="b">
        <f t="shared" si="538"/>
        <v>1</v>
      </c>
      <c r="FR344" s="673"/>
      <c r="FS344" s="775">
        <f t="shared" si="539"/>
        <v>36.76853370260222</v>
      </c>
      <c r="FT344" s="775">
        <f t="shared" si="540"/>
        <v>0.25156562681783134</v>
      </c>
      <c r="FU344" s="775">
        <f t="shared" si="541"/>
        <v>1.2355451153571869E-2</v>
      </c>
      <c r="FV344" s="775">
        <f t="shared" si="542"/>
        <v>7.5667634335456135</v>
      </c>
      <c r="FW344" s="775">
        <f t="shared" si="543"/>
        <v>4.1427811593844721</v>
      </c>
      <c r="FX344" s="775">
        <f t="shared" si="544"/>
        <v>44.58658775191131</v>
      </c>
      <c r="FY344" s="775">
        <f t="shared" si="545"/>
        <v>94.711433459012781</v>
      </c>
      <c r="FZ344" s="775">
        <f t="shared" si="546"/>
        <v>25.535754712601655</v>
      </c>
      <c r="GA344" s="775">
        <f t="shared" si="547"/>
        <v>40.277361436716681</v>
      </c>
      <c r="GB344" s="775">
        <f t="shared" si="548"/>
        <v>353.1981400522352</v>
      </c>
      <c r="GC344" s="775">
        <f t="shared" si="549"/>
        <v>51.029854681792322</v>
      </c>
      <c r="GD344" s="775">
        <f t="shared" si="550"/>
        <v>8.0043456615651802</v>
      </c>
      <c r="GE344" s="775">
        <f t="shared" si="551"/>
        <v>3.6383389370750816</v>
      </c>
      <c r="GF344" s="775">
        <f t="shared" si="552"/>
        <v>39.211654278369629</v>
      </c>
      <c r="GG344" s="775">
        <f t="shared" si="553"/>
        <v>36.76853370260222</v>
      </c>
    </row>
    <row r="345" spans="70:189">
      <c r="BR345" s="775"/>
      <c r="BS345" s="775"/>
      <c r="BT345" s="775"/>
      <c r="BU345" s="775"/>
      <c r="BV345" s="775"/>
      <c r="BW345" s="775"/>
      <c r="BX345" s="775"/>
      <c r="BY345" s="775" t="b">
        <f t="shared" si="554"/>
        <v>0</v>
      </c>
      <c r="BZ345" s="775">
        <f t="shared" si="481"/>
        <v>37.018092333314719</v>
      </c>
      <c r="CA345" s="775">
        <v>85</v>
      </c>
      <c r="CB345" s="775">
        <f t="shared" si="562"/>
        <v>42.5</v>
      </c>
      <c r="CC345" s="673">
        <f t="shared" si="482"/>
        <v>5.4819076666852808</v>
      </c>
      <c r="CD345" s="91">
        <f t="shared" si="483"/>
        <v>2</v>
      </c>
      <c r="CE345" s="775" t="b">
        <f t="shared" si="484"/>
        <v>0</v>
      </c>
      <c r="CF345" s="673"/>
      <c r="CG345" s="775">
        <f t="shared" si="485"/>
        <v>5.4819076666852808</v>
      </c>
      <c r="CH345" s="775">
        <f t="shared" si="486"/>
        <v>3.0486400168614931E-2</v>
      </c>
      <c r="CI345" s="775">
        <f t="shared" si="487"/>
        <v>2.03905088962847E-3</v>
      </c>
      <c r="CJ345" s="775">
        <f t="shared" si="488"/>
        <v>5.3104278239623754</v>
      </c>
      <c r="CK345" s="775">
        <f t="shared" si="489"/>
        <v>2.614566492823847</v>
      </c>
      <c r="CL345" s="775">
        <f t="shared" si="490"/>
        <v>4.78633904652468</v>
      </c>
      <c r="CM345" s="775">
        <f t="shared" si="491"/>
        <v>9.4118062756210232</v>
      </c>
      <c r="CN345" s="775">
        <f t="shared" si="492"/>
        <v>2.5383719446092505</v>
      </c>
      <c r="CO345" s="775">
        <f t="shared" si="493"/>
        <v>3.609281688237731</v>
      </c>
      <c r="CP345" s="775">
        <f t="shared" si="494"/>
        <v>38.108000210768665</v>
      </c>
      <c r="CQ345" s="775">
        <f t="shared" si="495"/>
        <v>6.1775555646117919</v>
      </c>
      <c r="CR345" s="775">
        <f t="shared" si="555"/>
        <v>37.236275641643743</v>
      </c>
      <c r="CS345" s="775">
        <f t="shared" si="496"/>
        <v>16.925579837110792</v>
      </c>
      <c r="CT345" s="775">
        <f t="shared" si="497"/>
        <v>5.4819076666852808</v>
      </c>
      <c r="CU345" s="775">
        <f t="shared" si="498"/>
        <v>3.9050032446574341</v>
      </c>
      <c r="CV345" s="775"/>
      <c r="CW345" s="775"/>
      <c r="CX345" s="775"/>
      <c r="CY345" s="775"/>
      <c r="CZ345" s="775"/>
      <c r="DA345" s="775"/>
      <c r="DB345" s="775"/>
      <c r="DC345" s="775"/>
      <c r="DD345" s="775" t="b">
        <f t="shared" si="556"/>
        <v>0</v>
      </c>
      <c r="DE345" s="775">
        <f t="shared" si="499"/>
        <v>26.688478803832751</v>
      </c>
      <c r="DF345" s="775">
        <v>85</v>
      </c>
      <c r="DG345" s="775">
        <f t="shared" si="557"/>
        <v>7.5</v>
      </c>
      <c r="DH345" s="673">
        <f t="shared" si="500"/>
        <v>34.188478803832751</v>
      </c>
      <c r="DI345" s="673">
        <f t="shared" si="501"/>
        <v>26</v>
      </c>
      <c r="DJ345" s="775" t="b">
        <f t="shared" si="502"/>
        <v>1</v>
      </c>
      <c r="DK345" s="673"/>
      <c r="DL345" s="775">
        <f t="shared" si="503"/>
        <v>34.188478803832751</v>
      </c>
      <c r="DM345" s="775">
        <f t="shared" si="504"/>
        <v>0.26984757690196126</v>
      </c>
      <c r="DN345" s="775">
        <f t="shared" si="505"/>
        <v>1.3253354989297708E-2</v>
      </c>
      <c r="DO345" s="775">
        <f t="shared" si="506"/>
        <v>7.4475658963748268</v>
      </c>
      <c r="DP345" s="775">
        <f t="shared" si="507"/>
        <v>4.1068275595349926</v>
      </c>
      <c r="DQ345" s="775">
        <f t="shared" si="508"/>
        <v>36.073951520882446</v>
      </c>
      <c r="DR345" s="775">
        <f t="shared" si="509"/>
        <v>76.628776305655961</v>
      </c>
      <c r="DS345" s="775">
        <f t="shared" si="510"/>
        <v>25.251186519936688</v>
      </c>
      <c r="DT345" s="775">
        <f t="shared" si="511"/>
        <v>39.872031453496611</v>
      </c>
      <c r="DU345" s="775">
        <f t="shared" si="512"/>
        <v>378.86599797035359</v>
      </c>
      <c r="DV345" s="775">
        <f t="shared" si="513"/>
        <v>54.738331344100793</v>
      </c>
      <c r="DW345" s="775">
        <f t="shared" si="514"/>
        <v>4.2068193201246764</v>
      </c>
      <c r="DX345" s="775">
        <f t="shared" si="515"/>
        <v>1.9121906000566709</v>
      </c>
      <c r="DY345" s="775">
        <f t="shared" si="516"/>
        <v>34.188478803832751</v>
      </c>
      <c r="DZ345" s="775">
        <f t="shared" si="517"/>
        <v>36.528588450527806</v>
      </c>
      <c r="EA345" s="775"/>
      <c r="EB345" s="775"/>
      <c r="EC345" s="775"/>
      <c r="ED345" s="775"/>
      <c r="EE345" s="775"/>
      <c r="EF345" s="775" t="b">
        <f t="shared" si="558"/>
        <v>0</v>
      </c>
      <c r="EG345" s="775">
        <f t="shared" si="518"/>
        <v>37.018092333314719</v>
      </c>
      <c r="EH345" s="775">
        <v>85</v>
      </c>
      <c r="EI345" s="775">
        <f t="shared" si="563"/>
        <v>42.5</v>
      </c>
      <c r="EJ345" s="673">
        <f t="shared" si="519"/>
        <v>5.4819076666852808</v>
      </c>
      <c r="EK345" s="673">
        <f t="shared" si="520"/>
        <v>2.2510196371999172</v>
      </c>
      <c r="EL345" s="775" t="b">
        <f t="shared" si="521"/>
        <v>0</v>
      </c>
      <c r="EM345" s="673"/>
      <c r="EN345" s="775">
        <f t="shared" si="522"/>
        <v>5.4819076666852808</v>
      </c>
      <c r="EO345" s="775">
        <f t="shared" si="523"/>
        <v>3.0486400168614931E-2</v>
      </c>
      <c r="EP345" s="775">
        <f t="shared" si="524"/>
        <v>2.03905088962847E-3</v>
      </c>
      <c r="EQ345" s="775">
        <f t="shared" si="525"/>
        <v>5.3104278239623754</v>
      </c>
      <c r="ER345" s="775">
        <f t="shared" si="526"/>
        <v>2.614566492823847</v>
      </c>
      <c r="ES345" s="775">
        <f t="shared" si="527"/>
        <v>4.78633904652468</v>
      </c>
      <c r="ET345" s="775">
        <f t="shared" si="528"/>
        <v>9.4118062756210232</v>
      </c>
      <c r="EU345" s="775">
        <f t="shared" si="529"/>
        <v>2.5383719446092505</v>
      </c>
      <c r="EV345" s="775">
        <f t="shared" si="530"/>
        <v>3.609281688237731</v>
      </c>
      <c r="EW345" s="775">
        <f t="shared" si="531"/>
        <v>38.108000210768665</v>
      </c>
      <c r="EX345" s="775">
        <f t="shared" si="532"/>
        <v>6.1775555646117919</v>
      </c>
      <c r="EY345" s="775">
        <f t="shared" si="559"/>
        <v>37.236275641643743</v>
      </c>
      <c r="EZ345" s="775">
        <f t="shared" si="533"/>
        <v>16.925579837110792</v>
      </c>
      <c r="FA345" s="775">
        <f t="shared" si="534"/>
        <v>5.4819076666852808</v>
      </c>
      <c r="FB345" s="775">
        <f t="shared" si="535"/>
        <v>3.9050032446574341</v>
      </c>
      <c r="FC345" s="775"/>
      <c r="FD345" s="775"/>
      <c r="FE345" s="775"/>
      <c r="FF345" s="775"/>
      <c r="FG345" s="775"/>
      <c r="FH345" s="775"/>
      <c r="FI345" s="775"/>
      <c r="FJ345" s="775"/>
      <c r="FK345" s="775" t="b">
        <f t="shared" si="560"/>
        <v>0</v>
      </c>
      <c r="FL345" s="775">
        <f t="shared" si="536"/>
        <v>29.028588450527806</v>
      </c>
      <c r="FM345" s="775">
        <v>85</v>
      </c>
      <c r="FN345" s="775">
        <f t="shared" si="561"/>
        <v>7.5</v>
      </c>
      <c r="FO345" s="673">
        <f t="shared" si="480"/>
        <v>36.528588450527806</v>
      </c>
      <c r="FP345" s="673">
        <f t="shared" si="537"/>
        <v>31.576723317281619</v>
      </c>
      <c r="FQ345" s="775" t="b">
        <f t="shared" si="538"/>
        <v>1</v>
      </c>
      <c r="FR345" s="673"/>
      <c r="FS345" s="775">
        <f t="shared" si="539"/>
        <v>36.528588450527806</v>
      </c>
      <c r="FT345" s="775">
        <f t="shared" si="540"/>
        <v>0.26984757690196126</v>
      </c>
      <c r="FU345" s="775">
        <f t="shared" si="541"/>
        <v>1.3253354989297708E-2</v>
      </c>
      <c r="FV345" s="775">
        <f t="shared" si="542"/>
        <v>7.4475658963748268</v>
      </c>
      <c r="FW345" s="775">
        <f t="shared" si="543"/>
        <v>4.1068275595349926</v>
      </c>
      <c r="FX345" s="775">
        <f t="shared" si="544"/>
        <v>43.81143023599752</v>
      </c>
      <c r="FY345" s="775">
        <f t="shared" si="545"/>
        <v>93.064833367137069</v>
      </c>
      <c r="FZ345" s="775">
        <f t="shared" si="546"/>
        <v>25.251186519936688</v>
      </c>
      <c r="GA345" s="775">
        <f t="shared" si="547"/>
        <v>39.872031453496611</v>
      </c>
      <c r="GB345" s="775">
        <f t="shared" si="548"/>
        <v>378.86599797035359</v>
      </c>
      <c r="GC345" s="775">
        <f t="shared" si="549"/>
        <v>54.738331344100793</v>
      </c>
      <c r="GD345" s="775">
        <f t="shared" si="550"/>
        <v>7.462057865169581</v>
      </c>
      <c r="GE345" s="775">
        <f t="shared" si="551"/>
        <v>3.3918444841679909</v>
      </c>
      <c r="GF345" s="775">
        <f t="shared" si="552"/>
        <v>38.786201230801062</v>
      </c>
      <c r="GG345" s="775">
        <f t="shared" si="553"/>
        <v>36.528588450527806</v>
      </c>
    </row>
    <row r="346" spans="70:189">
      <c r="BR346" s="775"/>
      <c r="BS346" s="775"/>
      <c r="BT346" s="775"/>
      <c r="BU346" s="775"/>
      <c r="BV346" s="775"/>
      <c r="BW346" s="775"/>
      <c r="BX346" s="775"/>
      <c r="BY346" s="775" t="b">
        <f t="shared" si="554"/>
        <v>0</v>
      </c>
      <c r="BZ346" s="775">
        <f t="shared" si="481"/>
        <v>37.499996877291821</v>
      </c>
      <c r="CA346" s="775">
        <v>86</v>
      </c>
      <c r="CB346" s="775">
        <f t="shared" si="562"/>
        <v>43</v>
      </c>
      <c r="CC346" s="673">
        <f t="shared" si="482"/>
        <v>5.5000031227081774</v>
      </c>
      <c r="CD346" s="91">
        <f t="shared" si="483"/>
        <v>2</v>
      </c>
      <c r="CE346" s="775" t="b">
        <f t="shared" si="484"/>
        <v>0</v>
      </c>
      <c r="CF346" s="673"/>
      <c r="CG346" s="775">
        <f t="shared" si="485"/>
        <v>5.5000031227081774</v>
      </c>
      <c r="CH346" s="775">
        <f t="shared" si="486"/>
        <v>3.0138956447537547E-2</v>
      </c>
      <c r="CI346" s="775">
        <f t="shared" si="487"/>
        <v>2.015812480874392E-3</v>
      </c>
      <c r="CJ346" s="775">
        <f t="shared" si="488"/>
        <v>5.3135680953237223</v>
      </c>
      <c r="CK346" s="775">
        <f t="shared" si="489"/>
        <v>2.6153124601173952</v>
      </c>
      <c r="CL346" s="775">
        <f t="shared" si="490"/>
        <v>4.8000741131401368</v>
      </c>
      <c r="CM346" s="775">
        <f t="shared" si="491"/>
        <v>9.4388147647629062</v>
      </c>
      <c r="CN346" s="775">
        <f t="shared" si="492"/>
        <v>2.5422141632326603</v>
      </c>
      <c r="CO346" s="775">
        <f t="shared" si="493"/>
        <v>3.6146073535470413</v>
      </c>
      <c r="CP346" s="775">
        <f t="shared" si="494"/>
        <v>37.673695559421937</v>
      </c>
      <c r="CQ346" s="775">
        <f t="shared" si="495"/>
        <v>6.1071519459273977</v>
      </c>
      <c r="CR346" s="775">
        <f t="shared" si="555"/>
        <v>37.665537689602047</v>
      </c>
      <c r="CS346" s="775">
        <f t="shared" si="496"/>
        <v>17.120698949819111</v>
      </c>
      <c r="CT346" s="775">
        <f t="shared" si="497"/>
        <v>5.5000031227081774</v>
      </c>
      <c r="CU346" s="775">
        <f t="shared" si="498"/>
        <v>3.9122565283001642</v>
      </c>
      <c r="CV346" s="775"/>
      <c r="CW346" s="775"/>
      <c r="CX346" s="775"/>
      <c r="CY346" s="775"/>
      <c r="CZ346" s="775"/>
      <c r="DA346" s="775"/>
      <c r="DB346" s="775"/>
      <c r="DC346" s="775"/>
      <c r="DD346" s="775" t="b">
        <f t="shared" si="556"/>
        <v>0</v>
      </c>
      <c r="DE346" s="775">
        <f t="shared" si="499"/>
        <v>26.7576224918094</v>
      </c>
      <c r="DF346" s="775">
        <v>86</v>
      </c>
      <c r="DG346" s="775">
        <f t="shared" si="557"/>
        <v>7</v>
      </c>
      <c r="DH346" s="673">
        <f t="shared" si="500"/>
        <v>33.7576224918094</v>
      </c>
      <c r="DI346" s="673">
        <f t="shared" si="501"/>
        <v>26</v>
      </c>
      <c r="DJ346" s="775" t="b">
        <f t="shared" si="502"/>
        <v>1</v>
      </c>
      <c r="DK346" s="673"/>
      <c r="DL346" s="775">
        <f t="shared" si="503"/>
        <v>33.7576224918094</v>
      </c>
      <c r="DM346" s="775">
        <f t="shared" si="504"/>
        <v>0.29086304507446126</v>
      </c>
      <c r="DN346" s="775">
        <f t="shared" si="505"/>
        <v>1.4285513451323185E-2</v>
      </c>
      <c r="DO346" s="775">
        <f t="shared" si="506"/>
        <v>7.3164104544207067</v>
      </c>
      <c r="DP346" s="775">
        <f t="shared" si="507"/>
        <v>4.0666325428752046</v>
      </c>
      <c r="DQ346" s="775">
        <f t="shared" si="508"/>
        <v>35.403908637764893</v>
      </c>
      <c r="DR346" s="775">
        <f t="shared" si="509"/>
        <v>75.205462140145428</v>
      </c>
      <c r="DS346" s="775">
        <f t="shared" si="510"/>
        <v>24.949628919403452</v>
      </c>
      <c r="DT346" s="775">
        <f t="shared" si="511"/>
        <v>39.442359365469038</v>
      </c>
      <c r="DU346" s="775">
        <f t="shared" si="512"/>
        <v>408.3717152845436</v>
      </c>
      <c r="DV346" s="775">
        <f t="shared" si="513"/>
        <v>59.001299621913589</v>
      </c>
      <c r="DW346" s="775">
        <f t="shared" si="514"/>
        <v>3.9028677558862368</v>
      </c>
      <c r="DX346" s="775">
        <f t="shared" si="515"/>
        <v>1.7740307981301076</v>
      </c>
      <c r="DY346" s="775">
        <f t="shared" si="516"/>
        <v>33.7576224918094</v>
      </c>
      <c r="DZ346" s="775">
        <f t="shared" si="517"/>
        <v>36.27223687305478</v>
      </c>
      <c r="EA346" s="775"/>
      <c r="EB346" s="775"/>
      <c r="EC346" s="775"/>
      <c r="ED346" s="775"/>
      <c r="EE346" s="775"/>
      <c r="EF346" s="775" t="b">
        <f t="shared" si="558"/>
        <v>0</v>
      </c>
      <c r="EG346" s="775">
        <f t="shared" si="518"/>
        <v>37.499996877291821</v>
      </c>
      <c r="EH346" s="775">
        <v>86</v>
      </c>
      <c r="EI346" s="775">
        <f t="shared" si="563"/>
        <v>43</v>
      </c>
      <c r="EJ346" s="673">
        <f t="shared" si="519"/>
        <v>5.5000031227081774</v>
      </c>
      <c r="EK346" s="673">
        <f t="shared" si="520"/>
        <v>2.2510196371999172</v>
      </c>
      <c r="EL346" s="775" t="b">
        <f t="shared" si="521"/>
        <v>0</v>
      </c>
      <c r="EM346" s="673"/>
      <c r="EN346" s="775">
        <f t="shared" si="522"/>
        <v>5.5000031227081774</v>
      </c>
      <c r="EO346" s="775">
        <f t="shared" si="523"/>
        <v>3.0138956447537547E-2</v>
      </c>
      <c r="EP346" s="775">
        <f t="shared" si="524"/>
        <v>2.015812480874392E-3</v>
      </c>
      <c r="EQ346" s="775">
        <f t="shared" si="525"/>
        <v>5.3135680953237223</v>
      </c>
      <c r="ER346" s="775">
        <f t="shared" si="526"/>
        <v>2.6153124601173952</v>
      </c>
      <c r="ES346" s="775">
        <f t="shared" si="527"/>
        <v>4.8000741131401368</v>
      </c>
      <c r="ET346" s="775">
        <f t="shared" si="528"/>
        <v>9.4388147647629062</v>
      </c>
      <c r="EU346" s="775">
        <f t="shared" si="529"/>
        <v>2.5422141632326603</v>
      </c>
      <c r="EV346" s="775">
        <f t="shared" si="530"/>
        <v>3.6146073535470413</v>
      </c>
      <c r="EW346" s="775">
        <f t="shared" si="531"/>
        <v>37.673695559421937</v>
      </c>
      <c r="EX346" s="775">
        <f t="shared" si="532"/>
        <v>6.1071519459273977</v>
      </c>
      <c r="EY346" s="775">
        <f t="shared" si="559"/>
        <v>37.665537689602047</v>
      </c>
      <c r="EZ346" s="775">
        <f t="shared" si="533"/>
        <v>17.120698949819111</v>
      </c>
      <c r="FA346" s="775">
        <f t="shared" si="534"/>
        <v>5.5000031227081774</v>
      </c>
      <c r="FB346" s="775">
        <f t="shared" si="535"/>
        <v>3.9122565283001642</v>
      </c>
      <c r="FC346" s="775"/>
      <c r="FD346" s="775"/>
      <c r="FE346" s="775"/>
      <c r="FF346" s="775"/>
      <c r="FG346" s="775"/>
      <c r="FH346" s="775"/>
      <c r="FI346" s="775"/>
      <c r="FJ346" s="775"/>
      <c r="FK346" s="775" t="b">
        <f t="shared" si="560"/>
        <v>0</v>
      </c>
      <c r="FL346" s="775">
        <f t="shared" si="536"/>
        <v>29.27223687305478</v>
      </c>
      <c r="FM346" s="775">
        <v>86</v>
      </c>
      <c r="FN346" s="775">
        <f t="shared" si="561"/>
        <v>7</v>
      </c>
      <c r="FO346" s="673">
        <f t="shared" si="480"/>
        <v>36.27223687305478</v>
      </c>
      <c r="FP346" s="673">
        <f t="shared" si="537"/>
        <v>31.576723317281619</v>
      </c>
      <c r="FQ346" s="775" t="b">
        <f t="shared" si="538"/>
        <v>1</v>
      </c>
      <c r="FR346" s="673"/>
      <c r="FS346" s="775">
        <f t="shared" si="539"/>
        <v>36.27223687305478</v>
      </c>
      <c r="FT346" s="775">
        <f t="shared" si="540"/>
        <v>0.29086304507446126</v>
      </c>
      <c r="FU346" s="775">
        <f t="shared" si="541"/>
        <v>1.4285513451323185E-2</v>
      </c>
      <c r="FV346" s="775">
        <f t="shared" si="542"/>
        <v>7.3164104544207067</v>
      </c>
      <c r="FW346" s="775">
        <f t="shared" si="543"/>
        <v>4.0666325428752046</v>
      </c>
      <c r="FX346" s="775">
        <f t="shared" si="544"/>
        <v>42.997670284808422</v>
      </c>
      <c r="FY346" s="775">
        <f t="shared" si="545"/>
        <v>91.336233459525786</v>
      </c>
      <c r="FZ346" s="775">
        <f t="shared" si="546"/>
        <v>24.949628919403452</v>
      </c>
      <c r="GA346" s="775">
        <f t="shared" si="547"/>
        <v>39.442359365469038</v>
      </c>
      <c r="GB346" s="775">
        <f t="shared" si="548"/>
        <v>408.3717152845436</v>
      </c>
      <c r="GC346" s="775">
        <f t="shared" si="549"/>
        <v>59.001299621913589</v>
      </c>
      <c r="GD346" s="775">
        <f t="shared" si="550"/>
        <v>6.9229084537114192</v>
      </c>
      <c r="GE346" s="775">
        <f t="shared" si="551"/>
        <v>3.1467765698688268</v>
      </c>
      <c r="GF346" s="775">
        <f t="shared" si="552"/>
        <v>38.333105739259054</v>
      </c>
      <c r="GG346" s="775">
        <f t="shared" si="553"/>
        <v>36.27223687305478</v>
      </c>
    </row>
    <row r="347" spans="70:189">
      <c r="BR347" s="775"/>
      <c r="BS347" s="775"/>
      <c r="BT347" s="775"/>
      <c r="BU347" s="775"/>
      <c r="BV347" s="775"/>
      <c r="BW347" s="775"/>
      <c r="BX347" s="775"/>
      <c r="BY347" s="775" t="b">
        <f t="shared" si="554"/>
        <v>0</v>
      </c>
      <c r="BZ347" s="775">
        <f t="shared" si="481"/>
        <v>37.98206642899693</v>
      </c>
      <c r="CA347" s="775">
        <v>87</v>
      </c>
      <c r="CB347" s="775">
        <f t="shared" si="562"/>
        <v>43.5</v>
      </c>
      <c r="CC347" s="673">
        <f t="shared" si="482"/>
        <v>5.5179335710030681</v>
      </c>
      <c r="CD347" s="91">
        <f t="shared" si="483"/>
        <v>2</v>
      </c>
      <c r="CE347" s="775" t="b">
        <f t="shared" si="484"/>
        <v>0</v>
      </c>
      <c r="CF347" s="673"/>
      <c r="CG347" s="775">
        <f t="shared" si="485"/>
        <v>5.5179335710030681</v>
      </c>
      <c r="CH347" s="775">
        <f t="shared" si="486"/>
        <v>2.9799420980563748E-2</v>
      </c>
      <c r="CI347" s="775">
        <f t="shared" si="487"/>
        <v>1.9931030073988688E-3</v>
      </c>
      <c r="CJ347" s="775">
        <f t="shared" si="488"/>
        <v>5.3166415590377873</v>
      </c>
      <c r="CK347" s="775">
        <f t="shared" si="489"/>
        <v>2.6160420654730276</v>
      </c>
      <c r="CL347" s="775">
        <f t="shared" si="490"/>
        <v>4.8136891226864238</v>
      </c>
      <c r="CM347" s="775">
        <f t="shared" si="491"/>
        <v>9.4655871749588414</v>
      </c>
      <c r="CN347" s="775">
        <f t="shared" si="492"/>
        <v>2.5460171381987799</v>
      </c>
      <c r="CO347" s="775">
        <f t="shared" si="493"/>
        <v>3.6198787594674142</v>
      </c>
      <c r="CP347" s="775">
        <f t="shared" si="494"/>
        <v>37.249276225704683</v>
      </c>
      <c r="CQ347" s="775">
        <f t="shared" si="495"/>
        <v>6.0383508017520873</v>
      </c>
      <c r="CR347" s="775">
        <f t="shared" si="555"/>
        <v>38.094699918512447</v>
      </c>
      <c r="CS347" s="775">
        <f t="shared" si="496"/>
        <v>17.315772690232929</v>
      </c>
      <c r="CT347" s="775">
        <f t="shared" si="497"/>
        <v>5.5179335710030681</v>
      </c>
      <c r="CU347" s="775">
        <f t="shared" si="498"/>
        <v>3.9194348352282118</v>
      </c>
      <c r="CV347" s="775"/>
      <c r="CW347" s="775"/>
      <c r="CX347" s="775"/>
      <c r="CY347" s="775"/>
      <c r="CZ347" s="775"/>
      <c r="DA347" s="775"/>
      <c r="DB347" s="775"/>
      <c r="DC347" s="775"/>
      <c r="DD347" s="775" t="b">
        <f t="shared" si="556"/>
        <v>0</v>
      </c>
      <c r="DE347" s="775">
        <f t="shared" si="499"/>
        <v>26.797589051299362</v>
      </c>
      <c r="DF347" s="775">
        <v>87</v>
      </c>
      <c r="DG347" s="775">
        <f t="shared" si="557"/>
        <v>6.5</v>
      </c>
      <c r="DH347" s="673">
        <f t="shared" si="500"/>
        <v>33.297589051299362</v>
      </c>
      <c r="DI347" s="673">
        <f t="shared" si="501"/>
        <v>26</v>
      </c>
      <c r="DJ347" s="775" t="b">
        <f t="shared" si="502"/>
        <v>1</v>
      </c>
      <c r="DK347" s="673"/>
      <c r="DL347" s="775">
        <f t="shared" si="503"/>
        <v>33.297589051299362</v>
      </c>
      <c r="DM347" s="775">
        <f t="shared" si="504"/>
        <v>0.31526321296899062</v>
      </c>
      <c r="DN347" s="775">
        <f t="shared" si="505"/>
        <v>1.5483908821840638E-2</v>
      </c>
      <c r="DO347" s="775">
        <f t="shared" si="506"/>
        <v>7.1714309631903435</v>
      </c>
      <c r="DP347" s="775">
        <f t="shared" si="507"/>
        <v>4.0214123273866029</v>
      </c>
      <c r="DQ347" s="775">
        <f t="shared" si="508"/>
        <v>34.698046415680295</v>
      </c>
      <c r="DR347" s="775">
        <f t="shared" si="509"/>
        <v>73.706060049763863</v>
      </c>
      <c r="DS347" s="775">
        <f t="shared" si="510"/>
        <v>24.628744794081371</v>
      </c>
      <c r="DT347" s="775">
        <f t="shared" si="511"/>
        <v>38.984977487805594</v>
      </c>
      <c r="DU347" s="775">
        <f t="shared" si="512"/>
        <v>442.62955100846284</v>
      </c>
      <c r="DV347" s="775">
        <f t="shared" si="513"/>
        <v>63.950851107223713</v>
      </c>
      <c r="DW347" s="775">
        <f t="shared" si="514"/>
        <v>3.6008007065247369</v>
      </c>
      <c r="DX347" s="775">
        <f t="shared" si="515"/>
        <v>1.6367275938748802</v>
      </c>
      <c r="DY347" s="775">
        <f t="shared" si="516"/>
        <v>33.297589051299362</v>
      </c>
      <c r="DZ347" s="775">
        <f t="shared" si="517"/>
        <v>35.997067864704128</v>
      </c>
      <c r="EA347" s="775"/>
      <c r="EB347" s="775"/>
      <c r="EC347" s="775"/>
      <c r="ED347" s="775"/>
      <c r="EE347" s="775"/>
      <c r="EF347" s="775" t="b">
        <f t="shared" si="558"/>
        <v>0</v>
      </c>
      <c r="EG347" s="775">
        <f t="shared" si="518"/>
        <v>37.98206642899693</v>
      </c>
      <c r="EH347" s="775">
        <v>87</v>
      </c>
      <c r="EI347" s="775">
        <f t="shared" si="563"/>
        <v>43.5</v>
      </c>
      <c r="EJ347" s="673">
        <f t="shared" si="519"/>
        <v>5.5179335710030681</v>
      </c>
      <c r="EK347" s="673">
        <f t="shared" si="520"/>
        <v>2.2510196371999172</v>
      </c>
      <c r="EL347" s="775" t="b">
        <f t="shared" si="521"/>
        <v>0</v>
      </c>
      <c r="EM347" s="673"/>
      <c r="EN347" s="775">
        <f t="shared" si="522"/>
        <v>5.5179335710030681</v>
      </c>
      <c r="EO347" s="775">
        <f t="shared" si="523"/>
        <v>2.9799420980563748E-2</v>
      </c>
      <c r="EP347" s="775">
        <f t="shared" si="524"/>
        <v>1.9931030073988688E-3</v>
      </c>
      <c r="EQ347" s="775">
        <f t="shared" si="525"/>
        <v>5.3166415590377873</v>
      </c>
      <c r="ER347" s="775">
        <f t="shared" si="526"/>
        <v>2.6160420654730276</v>
      </c>
      <c r="ES347" s="775">
        <f t="shared" si="527"/>
        <v>4.8136891226864238</v>
      </c>
      <c r="ET347" s="775">
        <f t="shared" si="528"/>
        <v>9.4655871749588414</v>
      </c>
      <c r="EU347" s="775">
        <f t="shared" si="529"/>
        <v>2.5460171381987799</v>
      </c>
      <c r="EV347" s="775">
        <f t="shared" si="530"/>
        <v>3.6198787594674142</v>
      </c>
      <c r="EW347" s="775">
        <f t="shared" si="531"/>
        <v>37.249276225704683</v>
      </c>
      <c r="EX347" s="775">
        <f t="shared" si="532"/>
        <v>6.0383508017520873</v>
      </c>
      <c r="EY347" s="775">
        <f t="shared" si="559"/>
        <v>38.094699918512447</v>
      </c>
      <c r="EZ347" s="775">
        <f t="shared" si="533"/>
        <v>17.315772690232929</v>
      </c>
      <c r="FA347" s="775">
        <f t="shared" si="534"/>
        <v>5.5179335710030681</v>
      </c>
      <c r="FB347" s="775">
        <f t="shared" si="535"/>
        <v>3.9194348352282118</v>
      </c>
      <c r="FC347" s="775"/>
      <c r="FD347" s="775"/>
      <c r="FE347" s="775"/>
      <c r="FF347" s="775"/>
      <c r="FG347" s="775"/>
      <c r="FH347" s="775"/>
      <c r="FI347" s="775"/>
      <c r="FJ347" s="775"/>
      <c r="FK347" s="775" t="b">
        <f t="shared" si="560"/>
        <v>0</v>
      </c>
      <c r="FL347" s="775">
        <f t="shared" si="536"/>
        <v>29.497067864704128</v>
      </c>
      <c r="FM347" s="775">
        <v>87</v>
      </c>
      <c r="FN347" s="775">
        <f t="shared" si="561"/>
        <v>6.5</v>
      </c>
      <c r="FO347" s="673">
        <f t="shared" si="480"/>
        <v>35.997067864704128</v>
      </c>
      <c r="FP347" s="673">
        <f t="shared" si="537"/>
        <v>31.576723317281619</v>
      </c>
      <c r="FQ347" s="775" t="b">
        <f t="shared" si="538"/>
        <v>1</v>
      </c>
      <c r="FR347" s="673"/>
      <c r="FS347" s="775">
        <f t="shared" si="539"/>
        <v>35.997067864704128</v>
      </c>
      <c r="FT347" s="775">
        <f t="shared" si="540"/>
        <v>0.31526321296899062</v>
      </c>
      <c r="FU347" s="775">
        <f t="shared" si="541"/>
        <v>1.5483908821840638E-2</v>
      </c>
      <c r="FV347" s="775">
        <f t="shared" si="542"/>
        <v>7.1714309631903435</v>
      </c>
      <c r="FW347" s="775">
        <f t="shared" si="543"/>
        <v>4.0214123273866029</v>
      </c>
      <c r="FX347" s="775">
        <f t="shared" si="544"/>
        <v>42.140408127620461</v>
      </c>
      <c r="FY347" s="775">
        <f t="shared" si="545"/>
        <v>89.515225576859152</v>
      </c>
      <c r="FZ347" s="775">
        <f t="shared" si="546"/>
        <v>24.628744794081371</v>
      </c>
      <c r="GA347" s="775">
        <f t="shared" si="547"/>
        <v>38.984977487805594</v>
      </c>
      <c r="GB347" s="775">
        <f t="shared" si="548"/>
        <v>442.62955100846284</v>
      </c>
      <c r="GC347" s="775">
        <f t="shared" si="549"/>
        <v>63.950851107223713</v>
      </c>
      <c r="GD347" s="775">
        <f t="shared" si="550"/>
        <v>6.3871017955282126</v>
      </c>
      <c r="GE347" s="775">
        <f t="shared" si="551"/>
        <v>2.9032280888764599</v>
      </c>
      <c r="GF347" s="775">
        <f t="shared" si="552"/>
        <v>37.848476595116722</v>
      </c>
      <c r="GG347" s="775">
        <f t="shared" si="553"/>
        <v>35.997067864704128</v>
      </c>
    </row>
    <row r="348" spans="70:189">
      <c r="BR348" s="775"/>
      <c r="BS348" s="775"/>
      <c r="BT348" s="775"/>
      <c r="BU348" s="775"/>
      <c r="BV348" s="775"/>
      <c r="BW348" s="775"/>
      <c r="BX348" s="775"/>
      <c r="BY348" s="775" t="b">
        <f t="shared" si="554"/>
        <v>0</v>
      </c>
      <c r="BZ348" s="775">
        <f t="shared" si="481"/>
        <v>38.464297630523092</v>
      </c>
      <c r="CA348" s="775">
        <v>88</v>
      </c>
      <c r="CB348" s="775">
        <f t="shared" si="562"/>
        <v>44</v>
      </c>
      <c r="CC348" s="673">
        <f t="shared" si="482"/>
        <v>5.5357023694769047</v>
      </c>
      <c r="CD348" s="91">
        <f t="shared" si="483"/>
        <v>2</v>
      </c>
      <c r="CE348" s="775" t="b">
        <f t="shared" si="484"/>
        <v>0</v>
      </c>
      <c r="CF348" s="673"/>
      <c r="CG348" s="775">
        <f t="shared" si="485"/>
        <v>5.5357023694769047</v>
      </c>
      <c r="CH348" s="775">
        <f t="shared" si="486"/>
        <v>2.9467525934783322E-2</v>
      </c>
      <c r="CI348" s="775">
        <f t="shared" si="487"/>
        <v>1.9709045554787055E-3</v>
      </c>
      <c r="CJ348" s="775">
        <f t="shared" si="488"/>
        <v>5.3196503332680249</v>
      </c>
      <c r="CK348" s="775">
        <f t="shared" si="489"/>
        <v>2.6167558433225695</v>
      </c>
      <c r="CL348" s="775">
        <f t="shared" si="490"/>
        <v>4.8271864866324607</v>
      </c>
      <c r="CM348" s="775">
        <f t="shared" si="491"/>
        <v>9.4921282480957068</v>
      </c>
      <c r="CN348" s="775">
        <f t="shared" si="492"/>
        <v>2.5497817150352775</v>
      </c>
      <c r="CO348" s="775">
        <f t="shared" si="493"/>
        <v>3.6250970735018533</v>
      </c>
      <c r="CP348" s="775">
        <f t="shared" si="494"/>
        <v>36.834407418479152</v>
      </c>
      <c r="CQ348" s="775">
        <f t="shared" si="495"/>
        <v>5.9710978602572533</v>
      </c>
      <c r="CR348" s="775">
        <f t="shared" si="555"/>
        <v>38.523763498584572</v>
      </c>
      <c r="CS348" s="775">
        <f t="shared" si="496"/>
        <v>17.510801590265714</v>
      </c>
      <c r="CT348" s="775">
        <f t="shared" si="497"/>
        <v>5.5357023694769047</v>
      </c>
      <c r="CU348" s="775">
        <f t="shared" si="498"/>
        <v>3.9265397882888351</v>
      </c>
      <c r="CV348" s="775"/>
      <c r="CW348" s="775"/>
      <c r="CX348" s="775"/>
      <c r="CY348" s="775"/>
      <c r="CZ348" s="775"/>
      <c r="DA348" s="775"/>
      <c r="DB348" s="775"/>
      <c r="DC348" s="775"/>
      <c r="DD348" s="775" t="b">
        <f t="shared" si="556"/>
        <v>0</v>
      </c>
      <c r="DE348" s="775">
        <f t="shared" si="499"/>
        <v>26.804007941227788</v>
      </c>
      <c r="DF348" s="775">
        <v>88</v>
      </c>
      <c r="DG348" s="775">
        <f t="shared" si="557"/>
        <v>6</v>
      </c>
      <c r="DH348" s="673">
        <f t="shared" si="500"/>
        <v>32.804007941227788</v>
      </c>
      <c r="DI348" s="673">
        <f t="shared" si="501"/>
        <v>26</v>
      </c>
      <c r="DJ348" s="775" t="b">
        <f t="shared" si="502"/>
        <v>1</v>
      </c>
      <c r="DK348" s="673"/>
      <c r="DL348" s="775">
        <f t="shared" si="503"/>
        <v>32.804007941227788</v>
      </c>
      <c r="DM348" s="775">
        <f t="shared" si="504"/>
        <v>0.34392180135075467</v>
      </c>
      <c r="DN348" s="775">
        <f t="shared" si="505"/>
        <v>1.6891453220335185E-2</v>
      </c>
      <c r="DO348" s="775">
        <f t="shared" si="506"/>
        <v>7.010351726911968</v>
      </c>
      <c r="DP348" s="775">
        <f t="shared" si="507"/>
        <v>3.9701786941842019</v>
      </c>
      <c r="DQ348" s="775">
        <f t="shared" si="508"/>
        <v>33.951457378928026</v>
      </c>
      <c r="DR348" s="775">
        <f t="shared" si="509"/>
        <v>72.120145508174858</v>
      </c>
      <c r="DS348" s="775">
        <f t="shared" si="510"/>
        <v>24.285664149787827</v>
      </c>
      <c r="DT348" s="775">
        <f t="shared" si="511"/>
        <v>38.495746352419303</v>
      </c>
      <c r="DU348" s="775">
        <f t="shared" si="512"/>
        <v>482.86620909645956</v>
      </c>
      <c r="DV348" s="775">
        <f t="shared" si="513"/>
        <v>69.764219248991878</v>
      </c>
      <c r="DW348" s="775">
        <f t="shared" si="514"/>
        <v>3.3007503320275018</v>
      </c>
      <c r="DX348" s="775">
        <f t="shared" si="515"/>
        <v>1.5003410600125007</v>
      </c>
      <c r="DY348" s="775">
        <f t="shared" si="516"/>
        <v>32.804007941227788</v>
      </c>
      <c r="DZ348" s="775">
        <f t="shared" si="517"/>
        <v>35.700095314509284</v>
      </c>
      <c r="EA348" s="775"/>
      <c r="EB348" s="775"/>
      <c r="EC348" s="775"/>
      <c r="ED348" s="775"/>
      <c r="EE348" s="775"/>
      <c r="EF348" s="775" t="b">
        <f t="shared" si="558"/>
        <v>0</v>
      </c>
      <c r="EG348" s="775">
        <f t="shared" si="518"/>
        <v>38.464297630523092</v>
      </c>
      <c r="EH348" s="775">
        <v>88</v>
      </c>
      <c r="EI348" s="775">
        <f t="shared" si="563"/>
        <v>44</v>
      </c>
      <c r="EJ348" s="673">
        <f t="shared" si="519"/>
        <v>5.5357023694769047</v>
      </c>
      <c r="EK348" s="673">
        <f t="shared" si="520"/>
        <v>2.2510196371999172</v>
      </c>
      <c r="EL348" s="775" t="b">
        <f t="shared" si="521"/>
        <v>0</v>
      </c>
      <c r="EM348" s="673"/>
      <c r="EN348" s="775">
        <f t="shared" si="522"/>
        <v>5.5357023694769047</v>
      </c>
      <c r="EO348" s="775">
        <f t="shared" si="523"/>
        <v>2.9467525934783322E-2</v>
      </c>
      <c r="EP348" s="775">
        <f t="shared" si="524"/>
        <v>1.9709045554787055E-3</v>
      </c>
      <c r="EQ348" s="775">
        <f t="shared" si="525"/>
        <v>5.3196503332680249</v>
      </c>
      <c r="ER348" s="775">
        <f t="shared" si="526"/>
        <v>2.6167558433225695</v>
      </c>
      <c r="ES348" s="775">
        <f t="shared" si="527"/>
        <v>4.8271864866324607</v>
      </c>
      <c r="ET348" s="775">
        <f t="shared" si="528"/>
        <v>9.4921282480957068</v>
      </c>
      <c r="EU348" s="775">
        <f t="shared" si="529"/>
        <v>2.5497817150352775</v>
      </c>
      <c r="EV348" s="775">
        <f t="shared" si="530"/>
        <v>3.6250970735018533</v>
      </c>
      <c r="EW348" s="775">
        <f t="shared" si="531"/>
        <v>36.834407418479152</v>
      </c>
      <c r="EX348" s="775">
        <f t="shared" si="532"/>
        <v>5.9710978602572533</v>
      </c>
      <c r="EY348" s="775">
        <f t="shared" si="559"/>
        <v>38.523763498584572</v>
      </c>
      <c r="EZ348" s="775">
        <f t="shared" si="533"/>
        <v>17.510801590265714</v>
      </c>
      <c r="FA348" s="775">
        <f t="shared" si="534"/>
        <v>5.5357023694769047</v>
      </c>
      <c r="FB348" s="775">
        <f t="shared" si="535"/>
        <v>3.9265397882888351</v>
      </c>
      <c r="FC348" s="775"/>
      <c r="FD348" s="775"/>
      <c r="FE348" s="775"/>
      <c r="FF348" s="775"/>
      <c r="FG348" s="775"/>
      <c r="FH348" s="775"/>
      <c r="FI348" s="775"/>
      <c r="FJ348" s="775"/>
      <c r="FK348" s="775" t="b">
        <f t="shared" si="560"/>
        <v>0</v>
      </c>
      <c r="FL348" s="775">
        <f t="shared" si="536"/>
        <v>29.700095314509284</v>
      </c>
      <c r="FM348" s="775">
        <v>88</v>
      </c>
      <c r="FN348" s="775">
        <f t="shared" si="561"/>
        <v>6</v>
      </c>
      <c r="FO348" s="673">
        <f t="shared" si="480"/>
        <v>35.700095314509284</v>
      </c>
      <c r="FP348" s="673">
        <f t="shared" si="537"/>
        <v>31.576723317281619</v>
      </c>
      <c r="FQ348" s="775" t="b">
        <f t="shared" si="538"/>
        <v>1</v>
      </c>
      <c r="FR348" s="673"/>
      <c r="FS348" s="775">
        <f t="shared" si="539"/>
        <v>35.700095314509284</v>
      </c>
      <c r="FT348" s="775">
        <f t="shared" si="540"/>
        <v>0.34392180135075467</v>
      </c>
      <c r="FU348" s="775">
        <f t="shared" si="541"/>
        <v>1.6891453220335185E-2</v>
      </c>
      <c r="FV348" s="775">
        <f t="shared" si="542"/>
        <v>7.010351726911968</v>
      </c>
      <c r="FW348" s="775">
        <f t="shared" si="543"/>
        <v>3.9701786941842019</v>
      </c>
      <c r="FX348" s="775">
        <f t="shared" si="544"/>
        <v>41.233683687418832</v>
      </c>
      <c r="FY348" s="775">
        <f t="shared" si="545"/>
        <v>87.589149242835688</v>
      </c>
      <c r="FZ348" s="775">
        <f t="shared" si="546"/>
        <v>24.285664149787827</v>
      </c>
      <c r="GA348" s="775">
        <f t="shared" si="547"/>
        <v>38.495746352419303</v>
      </c>
      <c r="GB348" s="775">
        <f t="shared" si="548"/>
        <v>482.86620909645956</v>
      </c>
      <c r="GC348" s="775">
        <f t="shared" si="549"/>
        <v>69.764219248991878</v>
      </c>
      <c r="GD348" s="775">
        <f t="shared" si="550"/>
        <v>5.8548723160606198</v>
      </c>
      <c r="GE348" s="775">
        <f t="shared" si="551"/>
        <v>2.6613055982093723</v>
      </c>
      <c r="GF348" s="775">
        <f t="shared" si="552"/>
        <v>37.327526700523897</v>
      </c>
      <c r="GG348" s="775">
        <f t="shared" si="553"/>
        <v>35.700095314509284</v>
      </c>
    </row>
    <row r="349" spans="70:189">
      <c r="BR349" s="775"/>
      <c r="BS349" s="775"/>
      <c r="BT349" s="775"/>
      <c r="BU349" s="775"/>
      <c r="BV349" s="775"/>
      <c r="BW349" s="775"/>
      <c r="BX349" s="775"/>
      <c r="BY349" s="775" t="b">
        <f t="shared" si="554"/>
        <v>0</v>
      </c>
      <c r="BZ349" s="775">
        <f t="shared" si="481"/>
        <v>38.94668722940029</v>
      </c>
      <c r="CA349" s="775">
        <v>89</v>
      </c>
      <c r="CB349" s="775">
        <f t="shared" si="562"/>
        <v>44.5</v>
      </c>
      <c r="CC349" s="673">
        <f t="shared" si="482"/>
        <v>5.553312770599713</v>
      </c>
      <c r="CD349" s="91">
        <f t="shared" si="483"/>
        <v>2</v>
      </c>
      <c r="CE349" s="775" t="b">
        <f t="shared" si="484"/>
        <v>0</v>
      </c>
      <c r="CF349" s="673"/>
      <c r="CG349" s="775">
        <f t="shared" si="485"/>
        <v>5.553312770599713</v>
      </c>
      <c r="CH349" s="775">
        <f t="shared" si="486"/>
        <v>2.9143015455891794E-2</v>
      </c>
      <c r="CI349" s="775">
        <f t="shared" si="487"/>
        <v>1.9492000125671837E-3</v>
      </c>
      <c r="CJ349" s="775">
        <f t="shared" si="488"/>
        <v>5.3225964473650205</v>
      </c>
      <c r="CK349" s="775">
        <f t="shared" si="489"/>
        <v>2.6174543050288364</v>
      </c>
      <c r="CL349" s="775">
        <f t="shared" si="490"/>
        <v>4.8405685412704136</v>
      </c>
      <c r="CM349" s="775">
        <f t="shared" si="491"/>
        <v>9.5184425782336124</v>
      </c>
      <c r="CN349" s="775">
        <f t="shared" si="492"/>
        <v>2.5535087116925599</v>
      </c>
      <c r="CO349" s="775">
        <f t="shared" si="493"/>
        <v>3.6302634251089598</v>
      </c>
      <c r="CP349" s="775">
        <f t="shared" si="494"/>
        <v>36.428769319864742</v>
      </c>
      <c r="CQ349" s="775">
        <f t="shared" si="495"/>
        <v>5.9053412768770031</v>
      </c>
      <c r="CR349" s="775">
        <f t="shared" si="555"/>
        <v>38.952729573167709</v>
      </c>
      <c r="CS349" s="775">
        <f t="shared" si="496"/>
        <v>17.705786169621685</v>
      </c>
      <c r="CT349" s="775">
        <f t="shared" si="497"/>
        <v>5.553312770599713</v>
      </c>
      <c r="CU349" s="775">
        <f t="shared" si="498"/>
        <v>3.9335729572554814</v>
      </c>
      <c r="CV349" s="775"/>
      <c r="CW349" s="775"/>
      <c r="CX349" s="775"/>
      <c r="CY349" s="775"/>
      <c r="CZ349" s="775"/>
      <c r="DA349" s="775"/>
      <c r="DB349" s="775"/>
      <c r="DC349" s="775"/>
      <c r="DD349" s="775" t="b">
        <f t="shared" si="556"/>
        <v>0</v>
      </c>
      <c r="DE349" s="775">
        <f t="shared" si="499"/>
        <v>26.771425384392444</v>
      </c>
      <c r="DF349" s="775">
        <v>89</v>
      </c>
      <c r="DG349" s="775">
        <f t="shared" si="557"/>
        <v>5.5</v>
      </c>
      <c r="DH349" s="673">
        <f t="shared" si="500"/>
        <v>32.271425384392444</v>
      </c>
      <c r="DI349" s="673">
        <f t="shared" si="501"/>
        <v>26</v>
      </c>
      <c r="DJ349" s="775" t="b">
        <f t="shared" si="502"/>
        <v>1</v>
      </c>
      <c r="DK349" s="673"/>
      <c r="DL349" s="775">
        <f t="shared" si="503"/>
        <v>32.271425384392444</v>
      </c>
      <c r="DM349" s="775">
        <f t="shared" si="504"/>
        <v>0.37803836178157663</v>
      </c>
      <c r="DN349" s="775">
        <f t="shared" si="505"/>
        <v>1.8567061693809769E-2</v>
      </c>
      <c r="DO349" s="775">
        <f t="shared" si="506"/>
        <v>6.8303671972442048</v>
      </c>
      <c r="DP349" s="775">
        <f t="shared" si="507"/>
        <v>3.9116676863081064</v>
      </c>
      <c r="DQ349" s="775">
        <f t="shared" si="508"/>
        <v>33.158080367911616</v>
      </c>
      <c r="DR349" s="775">
        <f t="shared" si="509"/>
        <v>70.434843318088113</v>
      </c>
      <c r="DS349" s="775">
        <f t="shared" si="510"/>
        <v>23.916805971986932</v>
      </c>
      <c r="DT349" s="775">
        <f t="shared" si="511"/>
        <v>37.969495487039289</v>
      </c>
      <c r="DU349" s="775">
        <f t="shared" si="512"/>
        <v>530.76585994133359</v>
      </c>
      <c r="DV349" s="775">
        <f t="shared" si="513"/>
        <v>76.684731971853381</v>
      </c>
      <c r="DW349" s="775">
        <f t="shared" si="514"/>
        <v>3.002869853340167</v>
      </c>
      <c r="DX349" s="775">
        <f t="shared" si="515"/>
        <v>1.3649408424273486</v>
      </c>
      <c r="DY349" s="775">
        <f t="shared" si="516"/>
        <v>32.271425384392444</v>
      </c>
      <c r="DZ349" s="775">
        <f t="shared" si="517"/>
        <v>35.377559065647809</v>
      </c>
      <c r="EA349" s="775"/>
      <c r="EB349" s="775"/>
      <c r="EC349" s="775"/>
      <c r="ED349" s="775"/>
      <c r="EE349" s="775"/>
      <c r="EF349" s="775" t="b">
        <f t="shared" si="558"/>
        <v>0</v>
      </c>
      <c r="EG349" s="775">
        <f t="shared" si="518"/>
        <v>38.94668722940029</v>
      </c>
      <c r="EH349" s="775">
        <v>89</v>
      </c>
      <c r="EI349" s="775">
        <f t="shared" si="563"/>
        <v>44.5</v>
      </c>
      <c r="EJ349" s="673">
        <f t="shared" si="519"/>
        <v>5.553312770599713</v>
      </c>
      <c r="EK349" s="673">
        <f t="shared" si="520"/>
        <v>2.2510196371999172</v>
      </c>
      <c r="EL349" s="775" t="b">
        <f t="shared" si="521"/>
        <v>0</v>
      </c>
      <c r="EM349" s="673"/>
      <c r="EN349" s="775">
        <f t="shared" si="522"/>
        <v>5.553312770599713</v>
      </c>
      <c r="EO349" s="775">
        <f t="shared" si="523"/>
        <v>2.9143015455891794E-2</v>
      </c>
      <c r="EP349" s="775">
        <f t="shared" si="524"/>
        <v>1.9492000125671837E-3</v>
      </c>
      <c r="EQ349" s="775">
        <f t="shared" si="525"/>
        <v>5.3225964473650205</v>
      </c>
      <c r="ER349" s="775">
        <f t="shared" si="526"/>
        <v>2.6174543050288364</v>
      </c>
      <c r="ES349" s="775">
        <f t="shared" si="527"/>
        <v>4.8405685412704136</v>
      </c>
      <c r="ET349" s="775">
        <f t="shared" si="528"/>
        <v>9.5184425782336124</v>
      </c>
      <c r="EU349" s="775">
        <f t="shared" si="529"/>
        <v>2.5535087116925599</v>
      </c>
      <c r="EV349" s="775">
        <f t="shared" si="530"/>
        <v>3.6302634251089598</v>
      </c>
      <c r="EW349" s="775">
        <f t="shared" si="531"/>
        <v>36.428769319864742</v>
      </c>
      <c r="EX349" s="775">
        <f t="shared" si="532"/>
        <v>5.9053412768770031</v>
      </c>
      <c r="EY349" s="775">
        <f t="shared" si="559"/>
        <v>38.952729573167709</v>
      </c>
      <c r="EZ349" s="775">
        <f t="shared" si="533"/>
        <v>17.705786169621685</v>
      </c>
      <c r="FA349" s="775">
        <f t="shared" si="534"/>
        <v>5.553312770599713</v>
      </c>
      <c r="FB349" s="775">
        <f t="shared" si="535"/>
        <v>3.9335729572554814</v>
      </c>
      <c r="FC349" s="775"/>
      <c r="FD349" s="775"/>
      <c r="FE349" s="775"/>
      <c r="FF349" s="775"/>
      <c r="FG349" s="775"/>
      <c r="FH349" s="775"/>
      <c r="FI349" s="775"/>
      <c r="FJ349" s="775"/>
      <c r="FK349" s="775" t="b">
        <f t="shared" si="560"/>
        <v>0</v>
      </c>
      <c r="FL349" s="775">
        <f t="shared" si="536"/>
        <v>29.877559065647809</v>
      </c>
      <c r="FM349" s="775">
        <v>89</v>
      </c>
      <c r="FN349" s="775">
        <f t="shared" si="561"/>
        <v>5.5</v>
      </c>
      <c r="FO349" s="673">
        <f t="shared" si="480"/>
        <v>35.377559065647809</v>
      </c>
      <c r="FP349" s="673">
        <f t="shared" si="537"/>
        <v>31.576723317281619</v>
      </c>
      <c r="FQ349" s="775" t="b">
        <f t="shared" si="538"/>
        <v>1</v>
      </c>
      <c r="FR349" s="673"/>
      <c r="FS349" s="775">
        <f t="shared" si="539"/>
        <v>35.377559065647809</v>
      </c>
      <c r="FT349" s="775">
        <f t="shared" si="540"/>
        <v>0.37803836178157663</v>
      </c>
      <c r="FU349" s="775">
        <f t="shared" si="541"/>
        <v>1.8567061693809769E-2</v>
      </c>
      <c r="FV349" s="775">
        <f t="shared" si="542"/>
        <v>6.8303671972442048</v>
      </c>
      <c r="FW349" s="775">
        <f t="shared" si="543"/>
        <v>3.9116676863081064</v>
      </c>
      <c r="FX349" s="775">
        <f t="shared" si="544"/>
        <v>40.270135750374337</v>
      </c>
      <c r="FY349" s="775">
        <f t="shared" si="545"/>
        <v>85.542367667359628</v>
      </c>
      <c r="FZ349" s="775">
        <f t="shared" si="546"/>
        <v>23.916805971986932</v>
      </c>
      <c r="GA349" s="775">
        <f t="shared" si="547"/>
        <v>37.969495487039289</v>
      </c>
      <c r="GB349" s="775">
        <f t="shared" si="548"/>
        <v>530.76585994133359</v>
      </c>
      <c r="GC349" s="775">
        <f t="shared" si="549"/>
        <v>76.684731971853381</v>
      </c>
      <c r="GD349" s="775">
        <f t="shared" si="550"/>
        <v>5.3264917986859324</v>
      </c>
      <c r="GE349" s="775">
        <f t="shared" si="551"/>
        <v>2.4211326357663325</v>
      </c>
      <c r="GF349" s="775">
        <f t="shared" si="552"/>
        <v>36.764272159352629</v>
      </c>
      <c r="GG349" s="775">
        <f t="shared" si="553"/>
        <v>35.377559065647809</v>
      </c>
    </row>
    <row r="350" spans="70:189">
      <c r="BR350" s="775"/>
      <c r="BS350" s="775"/>
      <c r="BT350" s="775"/>
      <c r="BU350" s="775"/>
      <c r="BV350" s="775"/>
      <c r="BW350" s="775"/>
      <c r="BX350" s="775"/>
      <c r="BY350" s="775" t="b">
        <f t="shared" si="554"/>
        <v>0</v>
      </c>
      <c r="BZ350" s="775">
        <f t="shared" si="481"/>
        <v>39.429232074144103</v>
      </c>
      <c r="CA350" s="775">
        <v>90</v>
      </c>
      <c r="CB350" s="775">
        <f t="shared" si="562"/>
        <v>45</v>
      </c>
      <c r="CC350" s="673">
        <f t="shared" si="482"/>
        <v>5.5707679258558986</v>
      </c>
      <c r="CD350" s="91">
        <f t="shared" si="483"/>
        <v>2</v>
      </c>
      <c r="CE350" s="775" t="b">
        <f t="shared" si="484"/>
        <v>0</v>
      </c>
      <c r="CF350" s="673"/>
      <c r="CG350" s="775">
        <f t="shared" si="485"/>
        <v>5.5707679258558986</v>
      </c>
      <c r="CH350" s="775">
        <f t="shared" si="486"/>
        <v>2.8825645005299778E-2</v>
      </c>
      <c r="CI350" s="775">
        <f t="shared" si="487"/>
        <v>1.9279730229573165E-3</v>
      </c>
      <c r="CJ350" s="775">
        <f t="shared" si="488"/>
        <v>5.325481846480371</v>
      </c>
      <c r="CK350" s="775">
        <f t="shared" si="489"/>
        <v>2.618137940118614</v>
      </c>
      <c r="CL350" s="775">
        <f t="shared" si="490"/>
        <v>4.8538375508742808</v>
      </c>
      <c r="CM350" s="775">
        <f t="shared" si="491"/>
        <v>9.5445346178169004</v>
      </c>
      <c r="CN350" s="775">
        <f t="shared" si="492"/>
        <v>2.5571989197416127</v>
      </c>
      <c r="CO350" s="775">
        <f t="shared" si="493"/>
        <v>3.6353789073543101</v>
      </c>
      <c r="CP350" s="775">
        <f t="shared" si="494"/>
        <v>36.03205625662472</v>
      </c>
      <c r="CQ350" s="775">
        <f t="shared" si="495"/>
        <v>5.8410314999845374</v>
      </c>
      <c r="CR350" s="775">
        <f t="shared" si="555"/>
        <v>39.381599259662231</v>
      </c>
      <c r="CS350" s="775">
        <f t="shared" si="496"/>
        <v>17.900726936210102</v>
      </c>
      <c r="CT350" s="775">
        <f t="shared" si="497"/>
        <v>5.5707679258558986</v>
      </c>
      <c r="CU350" s="775">
        <f t="shared" si="498"/>
        <v>3.9405358611374668</v>
      </c>
      <c r="CV350" s="775"/>
      <c r="CW350" s="775"/>
      <c r="CX350" s="775"/>
      <c r="CY350" s="775"/>
      <c r="CZ350" s="775"/>
      <c r="DA350" s="775"/>
      <c r="DB350" s="775"/>
      <c r="DC350" s="775"/>
      <c r="DD350" s="775" t="b">
        <f t="shared" si="556"/>
        <v>0</v>
      </c>
      <c r="DE350" s="775">
        <f t="shared" si="499"/>
        <v>26.692908714284759</v>
      </c>
      <c r="DF350" s="775">
        <v>90</v>
      </c>
      <c r="DG350" s="775">
        <f t="shared" si="557"/>
        <v>5</v>
      </c>
      <c r="DH350" s="673">
        <f t="shared" si="500"/>
        <v>31.692908714284759</v>
      </c>
      <c r="DI350" s="673">
        <f t="shared" si="501"/>
        <v>26</v>
      </c>
      <c r="DJ350" s="775" t="b">
        <f t="shared" si="502"/>
        <v>1</v>
      </c>
      <c r="DK350" s="673"/>
      <c r="DL350" s="775">
        <f t="shared" si="503"/>
        <v>31.692908714284759</v>
      </c>
      <c r="DM350" s="775">
        <f t="shared" si="504"/>
        <v>0.41930469112757368</v>
      </c>
      <c r="DN350" s="775">
        <f t="shared" si="505"/>
        <v>2.0593825536593779E-2</v>
      </c>
      <c r="DO350" s="775">
        <f t="shared" si="506"/>
        <v>6.6279754757707465</v>
      </c>
      <c r="DP350" s="775">
        <f t="shared" si="507"/>
        <v>3.8442360466853844</v>
      </c>
      <c r="DQ350" s="775">
        <f t="shared" si="508"/>
        <v>32.310294584619932</v>
      </c>
      <c r="DR350" s="775">
        <f t="shared" si="509"/>
        <v>68.633965277173544</v>
      </c>
      <c r="DS350" s="775">
        <f t="shared" si="510"/>
        <v>23.517617957217233</v>
      </c>
      <c r="DT350" s="775">
        <f t="shared" si="511"/>
        <v>37.399644164626942</v>
      </c>
      <c r="DU350" s="775">
        <f t="shared" si="512"/>
        <v>588.70378634311339</v>
      </c>
      <c r="DV350" s="775">
        <f t="shared" si="513"/>
        <v>85.055568705053474</v>
      </c>
      <c r="DW350" s="775">
        <f t="shared" si="514"/>
        <v>2.7073391355276173</v>
      </c>
      <c r="DX350" s="775">
        <f t="shared" si="515"/>
        <v>1.2306086979670987</v>
      </c>
      <c r="DY350" s="775">
        <f t="shared" si="516"/>
        <v>31.692908714284759</v>
      </c>
      <c r="DZ350" s="775">
        <f t="shared" si="517"/>
        <v>35.024631410360804</v>
      </c>
      <c r="EA350" s="775"/>
      <c r="EB350" s="775"/>
      <c r="EC350" s="775"/>
      <c r="ED350" s="775"/>
      <c r="EE350" s="775"/>
      <c r="EF350" s="775" t="b">
        <f t="shared" si="558"/>
        <v>0</v>
      </c>
      <c r="EG350" s="775">
        <f t="shared" si="518"/>
        <v>39.429232074144103</v>
      </c>
      <c r="EH350" s="775">
        <v>90</v>
      </c>
      <c r="EI350" s="775">
        <f t="shared" si="563"/>
        <v>45</v>
      </c>
      <c r="EJ350" s="673">
        <f t="shared" si="519"/>
        <v>5.5707679258558986</v>
      </c>
      <c r="EK350" s="673">
        <f t="shared" si="520"/>
        <v>2.2510196371999172</v>
      </c>
      <c r="EL350" s="775" t="b">
        <f t="shared" si="521"/>
        <v>0</v>
      </c>
      <c r="EM350" s="673"/>
      <c r="EN350" s="775">
        <f t="shared" si="522"/>
        <v>5.5707679258558986</v>
      </c>
      <c r="EO350" s="775">
        <f t="shared" si="523"/>
        <v>2.8825645005299778E-2</v>
      </c>
      <c r="EP350" s="775">
        <f t="shared" si="524"/>
        <v>1.9279730229573165E-3</v>
      </c>
      <c r="EQ350" s="775">
        <f t="shared" si="525"/>
        <v>5.325481846480371</v>
      </c>
      <c r="ER350" s="775">
        <f t="shared" si="526"/>
        <v>2.618137940118614</v>
      </c>
      <c r="ES350" s="775">
        <f t="shared" si="527"/>
        <v>4.8538375508742808</v>
      </c>
      <c r="ET350" s="775">
        <f t="shared" si="528"/>
        <v>9.5445346178169004</v>
      </c>
      <c r="EU350" s="775">
        <f t="shared" si="529"/>
        <v>2.5571989197416127</v>
      </c>
      <c r="EV350" s="775">
        <f t="shared" si="530"/>
        <v>3.6353789073543101</v>
      </c>
      <c r="EW350" s="775">
        <f t="shared" si="531"/>
        <v>36.03205625662472</v>
      </c>
      <c r="EX350" s="775">
        <f t="shared" si="532"/>
        <v>5.8410314999845374</v>
      </c>
      <c r="EY350" s="775">
        <f t="shared" si="559"/>
        <v>39.381599259662231</v>
      </c>
      <c r="EZ350" s="775">
        <f t="shared" si="533"/>
        <v>17.900726936210102</v>
      </c>
      <c r="FA350" s="775">
        <f t="shared" si="534"/>
        <v>5.5707679258558986</v>
      </c>
      <c r="FB350" s="775">
        <f t="shared" si="535"/>
        <v>3.9405358611374668</v>
      </c>
      <c r="FC350" s="775"/>
      <c r="FD350" s="775"/>
      <c r="FE350" s="775"/>
      <c r="FF350" s="775"/>
      <c r="FG350" s="775"/>
      <c r="FH350" s="775"/>
      <c r="FI350" s="775"/>
      <c r="FJ350" s="775"/>
      <c r="FK350" s="775" t="b">
        <f t="shared" si="560"/>
        <v>0</v>
      </c>
      <c r="FL350" s="775">
        <f t="shared" si="536"/>
        <v>30.024631410360804</v>
      </c>
      <c r="FM350" s="775">
        <v>90</v>
      </c>
      <c r="FN350" s="775">
        <f t="shared" si="561"/>
        <v>5</v>
      </c>
      <c r="FO350" s="673">
        <f t="shared" si="480"/>
        <v>35.024631410360804</v>
      </c>
      <c r="FP350" s="673">
        <f t="shared" si="537"/>
        <v>31.576723317281619</v>
      </c>
      <c r="FQ350" s="775" t="b">
        <f t="shared" si="538"/>
        <v>1</v>
      </c>
      <c r="FR350" s="673"/>
      <c r="FS350" s="775">
        <f t="shared" si="539"/>
        <v>35.024631410360804</v>
      </c>
      <c r="FT350" s="775">
        <f t="shared" si="540"/>
        <v>0.41930469112757368</v>
      </c>
      <c r="FU350" s="775">
        <f t="shared" si="541"/>
        <v>2.0593825536593779E-2</v>
      </c>
      <c r="FV350" s="775">
        <f t="shared" si="542"/>
        <v>6.6279754757707465</v>
      </c>
      <c r="FW350" s="775">
        <f t="shared" si="543"/>
        <v>3.8442360466853844</v>
      </c>
      <c r="FX350" s="775">
        <f t="shared" si="544"/>
        <v>39.240508938400239</v>
      </c>
      <c r="FY350" s="775">
        <f t="shared" si="545"/>
        <v>83.355220450970108</v>
      </c>
      <c r="FZ350" s="775">
        <f t="shared" si="546"/>
        <v>23.517617957217233</v>
      </c>
      <c r="GA350" s="775">
        <f t="shared" si="547"/>
        <v>37.399644164626942</v>
      </c>
      <c r="GB350" s="775">
        <f t="shared" si="548"/>
        <v>588.70378634311339</v>
      </c>
      <c r="GC350" s="775">
        <f t="shared" si="549"/>
        <v>85.055568705053474</v>
      </c>
      <c r="GD350" s="775">
        <f t="shared" si="550"/>
        <v>4.8022792881312863</v>
      </c>
      <c r="GE350" s="775">
        <f t="shared" si="551"/>
        <v>2.1828542218778573</v>
      </c>
      <c r="GF350" s="775">
        <f t="shared" si="552"/>
        <v>36.151092334661591</v>
      </c>
      <c r="GG350" s="775">
        <f t="shared" si="553"/>
        <v>35.024631410360804</v>
      </c>
    </row>
    <row r="351" spans="70:189">
      <c r="BR351" s="775"/>
      <c r="BS351" s="775"/>
      <c r="BT351" s="775"/>
      <c r="BU351" s="775"/>
      <c r="BV351" s="775"/>
      <c r="BW351" s="775"/>
      <c r="BX351" s="775"/>
      <c r="BY351" s="775" t="b">
        <f t="shared" si="554"/>
        <v>0</v>
      </c>
      <c r="BZ351" s="775">
        <f t="shared" si="481"/>
        <v>39.911929110039488</v>
      </c>
      <c r="CA351" s="775">
        <v>91</v>
      </c>
      <c r="CB351" s="775">
        <f t="shared" si="562"/>
        <v>45.5</v>
      </c>
      <c r="CC351" s="673">
        <f t="shared" si="482"/>
        <v>5.5880708899605107</v>
      </c>
      <c r="CD351" s="91">
        <f t="shared" si="483"/>
        <v>2</v>
      </c>
      <c r="CE351" s="775" t="b">
        <f t="shared" si="484"/>
        <v>0</v>
      </c>
      <c r="CF351" s="673"/>
      <c r="CG351" s="775">
        <f t="shared" si="485"/>
        <v>5.5880708899605107</v>
      </c>
      <c r="CH351" s="775">
        <f t="shared" si="486"/>
        <v>2.8515180740808523E-2</v>
      </c>
      <c r="CI351" s="775">
        <f t="shared" si="487"/>
        <v>1.9072079463589829E-3</v>
      </c>
      <c r="CJ351" s="775">
        <f t="shared" si="488"/>
        <v>5.3283083958955917</v>
      </c>
      <c r="CK351" s="775">
        <f t="shared" si="489"/>
        <v>2.6188072174373245</v>
      </c>
      <c r="CL351" s="775">
        <f t="shared" si="490"/>
        <v>4.8669957106922856</v>
      </c>
      <c r="CM351" s="775">
        <f t="shared" si="491"/>
        <v>9.5704086835583624</v>
      </c>
      <c r="CN351" s="775">
        <f t="shared" si="492"/>
        <v>2.5608531055071468</v>
      </c>
      <c r="CO351" s="775">
        <f t="shared" si="493"/>
        <v>3.64044457847268</v>
      </c>
      <c r="CP351" s="775">
        <f t="shared" si="494"/>
        <v>35.643975926010654</v>
      </c>
      <c r="CQ351" s="775">
        <f t="shared" si="495"/>
        <v>5.7781211453964776</v>
      </c>
      <c r="CR351" s="775">
        <f t="shared" si="555"/>
        <v>39.810373650390282</v>
      </c>
      <c r="CS351" s="775">
        <f t="shared" si="496"/>
        <v>18.095624386541036</v>
      </c>
      <c r="CT351" s="775">
        <f t="shared" si="497"/>
        <v>5.5880708899605107</v>
      </c>
      <c r="CU351" s="775">
        <f t="shared" si="498"/>
        <v>3.9474299703647051</v>
      </c>
      <c r="CV351" s="775"/>
      <c r="CW351" s="775"/>
      <c r="CX351" s="775"/>
      <c r="CY351" s="775"/>
      <c r="CZ351" s="775"/>
      <c r="DA351" s="775"/>
      <c r="DB351" s="775"/>
      <c r="DC351" s="775"/>
      <c r="DD351" s="775" t="b">
        <f t="shared" si="556"/>
        <v>0</v>
      </c>
      <c r="DE351" s="775">
        <f t="shared" si="499"/>
        <v>26.559449802003218</v>
      </c>
      <c r="DF351" s="775">
        <v>91</v>
      </c>
      <c r="DG351" s="775">
        <f t="shared" si="557"/>
        <v>4.5</v>
      </c>
      <c r="DH351" s="673">
        <f t="shared" si="500"/>
        <v>31.059449802003218</v>
      </c>
      <c r="DI351" s="673">
        <f t="shared" si="501"/>
        <v>26</v>
      </c>
      <c r="DJ351" s="775" t="b">
        <f t="shared" si="502"/>
        <v>1</v>
      </c>
      <c r="DK351" s="673"/>
      <c r="DL351" s="775">
        <f t="shared" si="503"/>
        <v>31.059449802003218</v>
      </c>
      <c r="DM351" s="775">
        <f t="shared" si="504"/>
        <v>0.47018428924711919</v>
      </c>
      <c r="DN351" s="775">
        <f t="shared" si="505"/>
        <v>2.3092737638502819E-2</v>
      </c>
      <c r="DO351" s="775">
        <f t="shared" si="506"/>
        <v>6.3987425964222773</v>
      </c>
      <c r="DP351" s="775">
        <f t="shared" si="507"/>
        <v>3.7657067586260773</v>
      </c>
      <c r="DQ351" s="775">
        <f t="shared" si="508"/>
        <v>31.398313369015053</v>
      </c>
      <c r="DR351" s="775">
        <f t="shared" si="509"/>
        <v>66.696722429655381</v>
      </c>
      <c r="DS351" s="775">
        <f t="shared" si="510"/>
        <v>23.082183642455558</v>
      </c>
      <c r="DT351" s="775">
        <f t="shared" si="511"/>
        <v>36.777628037602398</v>
      </c>
      <c r="DU351" s="775">
        <f t="shared" si="512"/>
        <v>660.13874210295535</v>
      </c>
      <c r="DV351" s="775">
        <f t="shared" si="513"/>
        <v>95.376448115930003</v>
      </c>
      <c r="DW351" s="775">
        <f t="shared" si="514"/>
        <v>2.4143724619504718</v>
      </c>
      <c r="DX351" s="775">
        <f t="shared" si="515"/>
        <v>1.0974420281593054</v>
      </c>
      <c r="DY351" s="775">
        <f t="shared" si="516"/>
        <v>31.059449802003218</v>
      </c>
      <c r="DZ351" s="775">
        <f t="shared" si="517"/>
        <v>34.634969563426402</v>
      </c>
      <c r="EA351" s="775"/>
      <c r="EB351" s="775"/>
      <c r="EC351" s="775"/>
      <c r="ED351" s="775"/>
      <c r="EE351" s="775"/>
      <c r="EF351" s="775" t="b">
        <f t="shared" si="558"/>
        <v>0</v>
      </c>
      <c r="EG351" s="775">
        <f t="shared" si="518"/>
        <v>39.911929110039488</v>
      </c>
      <c r="EH351" s="775">
        <v>91</v>
      </c>
      <c r="EI351" s="775">
        <f t="shared" si="563"/>
        <v>45.5</v>
      </c>
      <c r="EJ351" s="673">
        <f t="shared" si="519"/>
        <v>5.5880708899605107</v>
      </c>
      <c r="EK351" s="673">
        <f t="shared" si="520"/>
        <v>2.2510196371999172</v>
      </c>
      <c r="EL351" s="775" t="b">
        <f t="shared" si="521"/>
        <v>0</v>
      </c>
      <c r="EM351" s="673"/>
      <c r="EN351" s="775">
        <f t="shared" si="522"/>
        <v>5.5880708899605107</v>
      </c>
      <c r="EO351" s="775">
        <f t="shared" si="523"/>
        <v>2.8515180740808523E-2</v>
      </c>
      <c r="EP351" s="775">
        <f t="shared" si="524"/>
        <v>1.9072079463589829E-3</v>
      </c>
      <c r="EQ351" s="775">
        <f t="shared" si="525"/>
        <v>5.3283083958955917</v>
      </c>
      <c r="ER351" s="775">
        <f t="shared" si="526"/>
        <v>2.6188072174373245</v>
      </c>
      <c r="ES351" s="775">
        <f t="shared" si="527"/>
        <v>4.8669957106922856</v>
      </c>
      <c r="ET351" s="775">
        <f t="shared" si="528"/>
        <v>9.5704086835583624</v>
      </c>
      <c r="EU351" s="775">
        <f t="shared" si="529"/>
        <v>2.5608531055071468</v>
      </c>
      <c r="EV351" s="775">
        <f t="shared" si="530"/>
        <v>3.64044457847268</v>
      </c>
      <c r="EW351" s="775">
        <f t="shared" si="531"/>
        <v>35.643975926010654</v>
      </c>
      <c r="EX351" s="775">
        <f t="shared" si="532"/>
        <v>5.7781211453964776</v>
      </c>
      <c r="EY351" s="775">
        <f t="shared" si="559"/>
        <v>39.810373650390282</v>
      </c>
      <c r="EZ351" s="775">
        <f t="shared" si="533"/>
        <v>18.095624386541036</v>
      </c>
      <c r="FA351" s="775">
        <f t="shared" si="534"/>
        <v>5.5880708899605107</v>
      </c>
      <c r="FB351" s="775">
        <f t="shared" si="535"/>
        <v>3.9474299703647051</v>
      </c>
      <c r="FC351" s="775"/>
      <c r="FD351" s="775"/>
      <c r="FE351" s="775"/>
      <c r="FF351" s="775"/>
      <c r="FG351" s="775"/>
      <c r="FH351" s="775"/>
      <c r="FI351" s="775"/>
      <c r="FJ351" s="775"/>
      <c r="FK351" s="775" t="b">
        <f t="shared" si="560"/>
        <v>0</v>
      </c>
      <c r="FL351" s="775">
        <f t="shared" si="536"/>
        <v>30.134969563426402</v>
      </c>
      <c r="FM351" s="775">
        <v>91</v>
      </c>
      <c r="FN351" s="775">
        <f t="shared" si="561"/>
        <v>4.5</v>
      </c>
      <c r="FO351" s="673">
        <f t="shared" si="480"/>
        <v>34.634969563426402</v>
      </c>
      <c r="FP351" s="673">
        <f t="shared" si="537"/>
        <v>31.576723317281619</v>
      </c>
      <c r="FQ351" s="775" t="b">
        <f t="shared" si="538"/>
        <v>1</v>
      </c>
      <c r="FR351" s="673"/>
      <c r="FS351" s="775">
        <f t="shared" si="539"/>
        <v>34.634969563426402</v>
      </c>
      <c r="FT351" s="775">
        <f t="shared" si="540"/>
        <v>0.47018428924711919</v>
      </c>
      <c r="FU351" s="775">
        <f t="shared" si="541"/>
        <v>2.3092737638502819E-2</v>
      </c>
      <c r="FV351" s="775">
        <f t="shared" si="542"/>
        <v>6.3987425964222773</v>
      </c>
      <c r="FW351" s="775">
        <f t="shared" si="543"/>
        <v>3.7657067586260773</v>
      </c>
      <c r="FX351" s="775">
        <f t="shared" si="544"/>
        <v>38.132917457026643</v>
      </c>
      <c r="FY351" s="775">
        <f t="shared" si="545"/>
        <v>81.002459628106124</v>
      </c>
      <c r="FZ351" s="775">
        <f t="shared" si="546"/>
        <v>23.082183642455558</v>
      </c>
      <c r="GA351" s="775">
        <f t="shared" si="547"/>
        <v>36.777628037602398</v>
      </c>
      <c r="GB351" s="775">
        <f t="shared" si="548"/>
        <v>660.13874210295535</v>
      </c>
      <c r="GC351" s="775">
        <f t="shared" si="549"/>
        <v>95.376448115930003</v>
      </c>
      <c r="GD351" s="775">
        <f t="shared" si="550"/>
        <v>4.2826148803111472</v>
      </c>
      <c r="GE351" s="775">
        <f t="shared" si="551"/>
        <v>1.9466431274141576</v>
      </c>
      <c r="GF351" s="775">
        <f t="shared" si="552"/>
        <v>35.478065346133668</v>
      </c>
      <c r="GG351" s="775">
        <f t="shared" si="553"/>
        <v>34.634969563426402</v>
      </c>
    </row>
    <row r="352" spans="70:189">
      <c r="BR352" s="775"/>
      <c r="BS352" s="775"/>
      <c r="BT352" s="775"/>
      <c r="BU352" s="775"/>
      <c r="BV352" s="775"/>
      <c r="BW352" s="775"/>
      <c r="BX352" s="775"/>
      <c r="BY352" s="775" t="b">
        <f t="shared" si="554"/>
        <v>0</v>
      </c>
      <c r="BZ352" s="775">
        <f t="shared" si="481"/>
        <v>40.394775375144697</v>
      </c>
      <c r="CA352" s="775">
        <v>92</v>
      </c>
      <c r="CB352" s="775">
        <f t="shared" si="562"/>
        <v>46</v>
      </c>
      <c r="CC352" s="673">
        <f t="shared" si="482"/>
        <v>5.6052246248553059</v>
      </c>
      <c r="CD352" s="91">
        <f t="shared" si="483"/>
        <v>2</v>
      </c>
      <c r="CE352" s="775" t="b">
        <f t="shared" si="484"/>
        <v>0</v>
      </c>
      <c r="CF352" s="673"/>
      <c r="CG352" s="775">
        <f t="shared" si="485"/>
        <v>5.6052246248553059</v>
      </c>
      <c r="CH352" s="775">
        <f t="shared" si="486"/>
        <v>2.8211398937545949E-2</v>
      </c>
      <c r="CI352" s="775">
        <f t="shared" si="487"/>
        <v>1.8868898191688405E-3</v>
      </c>
      <c r="CJ352" s="775">
        <f t="shared" si="488"/>
        <v>5.3310778850863016</v>
      </c>
      <c r="CK352" s="775">
        <f t="shared" si="489"/>
        <v>2.619462586231124</v>
      </c>
      <c r="CL352" s="775">
        <f t="shared" si="490"/>
        <v>4.8800451497835402</v>
      </c>
      <c r="CM352" s="775">
        <f t="shared" si="491"/>
        <v>9.5960689620172364</v>
      </c>
      <c r="CN352" s="775">
        <f t="shared" si="492"/>
        <v>2.5644720111401966</v>
      </c>
      <c r="CO352" s="775">
        <f t="shared" si="493"/>
        <v>3.6454614633468454</v>
      </c>
      <c r="CP352" s="775">
        <f t="shared" si="494"/>
        <v>35.264248671932435</v>
      </c>
      <c r="CQ352" s="775">
        <f t="shared" si="495"/>
        <v>5.7165648790353059</v>
      </c>
      <c r="CR352" s="775">
        <f t="shared" si="555"/>
        <v>40.239053813428107</v>
      </c>
      <c r="CS352" s="775">
        <f t="shared" si="496"/>
        <v>18.290479006103684</v>
      </c>
      <c r="CT352" s="775">
        <f t="shared" si="497"/>
        <v>5.6052246248553059</v>
      </c>
      <c r="CU352" s="775">
        <f t="shared" si="498"/>
        <v>3.9542567088555507</v>
      </c>
      <c r="CV352" s="775"/>
      <c r="CW352" s="775"/>
      <c r="CX352" s="775"/>
      <c r="CY352" s="775"/>
      <c r="CZ352" s="775"/>
      <c r="DA352" s="775"/>
      <c r="DB352" s="775"/>
      <c r="DC352" s="775"/>
      <c r="DD352" s="775" t="b">
        <f t="shared" si="556"/>
        <v>0</v>
      </c>
      <c r="DE352" s="775">
        <f t="shared" si="499"/>
        <v>26.359030054797316</v>
      </c>
      <c r="DF352" s="775">
        <v>92</v>
      </c>
      <c r="DG352" s="775">
        <f t="shared" si="557"/>
        <v>4</v>
      </c>
      <c r="DH352" s="673">
        <f t="shared" si="500"/>
        <v>30.359030054797316</v>
      </c>
      <c r="DI352" s="673">
        <f t="shared" si="501"/>
        <v>26</v>
      </c>
      <c r="DJ352" s="775" t="b">
        <f t="shared" si="502"/>
        <v>1</v>
      </c>
      <c r="DK352" s="673"/>
      <c r="DL352" s="775">
        <f t="shared" si="503"/>
        <v>30.359030054797316</v>
      </c>
      <c r="DM352" s="775">
        <f t="shared" si="504"/>
        <v>0.53440548306205227</v>
      </c>
      <c r="DN352" s="775">
        <f t="shared" si="505"/>
        <v>2.6246911892122408E-2</v>
      </c>
      <c r="DO352" s="775">
        <f t="shared" si="506"/>
        <v>6.1369596130579929</v>
      </c>
      <c r="DP352" s="775">
        <f t="shared" si="507"/>
        <v>3.6731313840053139</v>
      </c>
      <c r="DQ352" s="775">
        <f t="shared" si="508"/>
        <v>30.409243879349148</v>
      </c>
      <c r="DR352" s="775">
        <f t="shared" si="509"/>
        <v>64.595727626508179</v>
      </c>
      <c r="DS352" s="775">
        <f t="shared" si="510"/>
        <v>22.602605832640869</v>
      </c>
      <c r="DT352" s="775">
        <f t="shared" si="511"/>
        <v>36.091997700998085</v>
      </c>
      <c r="DU352" s="775">
        <f t="shared" si="512"/>
        <v>750.30529821912137</v>
      </c>
      <c r="DV352" s="775">
        <f t="shared" si="513"/>
        <v>108.40365787157918</v>
      </c>
      <c r="DW352" s="775">
        <f t="shared" si="514"/>
        <v>2.1242297019399907</v>
      </c>
      <c r="DX352" s="775">
        <f t="shared" si="515"/>
        <v>0.96555895542726844</v>
      </c>
      <c r="DY352" s="775">
        <f t="shared" si="516"/>
        <v>30.359030054797316</v>
      </c>
      <c r="DZ352" s="775">
        <f t="shared" si="517"/>
        <v>34.200005506606566</v>
      </c>
      <c r="EA352" s="775"/>
      <c r="EB352" s="775"/>
      <c r="EC352" s="775"/>
      <c r="ED352" s="775"/>
      <c r="EE352" s="775"/>
      <c r="EF352" s="775" t="b">
        <f t="shared" si="558"/>
        <v>0</v>
      </c>
      <c r="EG352" s="775">
        <f t="shared" si="518"/>
        <v>40.394775375144697</v>
      </c>
      <c r="EH352" s="775">
        <v>92</v>
      </c>
      <c r="EI352" s="775">
        <f t="shared" si="563"/>
        <v>46</v>
      </c>
      <c r="EJ352" s="673">
        <f t="shared" si="519"/>
        <v>5.6052246248553059</v>
      </c>
      <c r="EK352" s="673">
        <f t="shared" si="520"/>
        <v>2.2510196371999172</v>
      </c>
      <c r="EL352" s="775" t="b">
        <f t="shared" si="521"/>
        <v>0</v>
      </c>
      <c r="EM352" s="673"/>
      <c r="EN352" s="775">
        <f t="shared" si="522"/>
        <v>5.6052246248553059</v>
      </c>
      <c r="EO352" s="775">
        <f t="shared" si="523"/>
        <v>2.8211398937545949E-2</v>
      </c>
      <c r="EP352" s="775">
        <f t="shared" si="524"/>
        <v>1.8868898191688405E-3</v>
      </c>
      <c r="EQ352" s="775">
        <f t="shared" si="525"/>
        <v>5.3310778850863016</v>
      </c>
      <c r="ER352" s="775">
        <f t="shared" si="526"/>
        <v>2.619462586231124</v>
      </c>
      <c r="ES352" s="775">
        <f t="shared" si="527"/>
        <v>4.8800451497835402</v>
      </c>
      <c r="ET352" s="775">
        <f t="shared" si="528"/>
        <v>9.5960689620172364</v>
      </c>
      <c r="EU352" s="775">
        <f t="shared" si="529"/>
        <v>2.5644720111401966</v>
      </c>
      <c r="EV352" s="775">
        <f t="shared" si="530"/>
        <v>3.6454614633468454</v>
      </c>
      <c r="EW352" s="775">
        <f t="shared" si="531"/>
        <v>35.264248671932435</v>
      </c>
      <c r="EX352" s="775">
        <f t="shared" si="532"/>
        <v>5.7165648790353059</v>
      </c>
      <c r="EY352" s="775">
        <f t="shared" si="559"/>
        <v>40.239053813428107</v>
      </c>
      <c r="EZ352" s="775">
        <f t="shared" si="533"/>
        <v>18.290479006103684</v>
      </c>
      <c r="FA352" s="775">
        <f t="shared" si="534"/>
        <v>5.6052246248553059</v>
      </c>
      <c r="FB352" s="775">
        <f t="shared" si="535"/>
        <v>3.9542567088555507</v>
      </c>
      <c r="FC352" s="775"/>
      <c r="FD352" s="775"/>
      <c r="FE352" s="775"/>
      <c r="FF352" s="775"/>
      <c r="FG352" s="775"/>
      <c r="FH352" s="775"/>
      <c r="FI352" s="775"/>
      <c r="FJ352" s="775"/>
      <c r="FK352" s="775" t="b">
        <f t="shared" si="560"/>
        <v>0</v>
      </c>
      <c r="FL352" s="775">
        <f t="shared" si="536"/>
        <v>30.200005506606566</v>
      </c>
      <c r="FM352" s="775">
        <v>92</v>
      </c>
      <c r="FN352" s="775">
        <f t="shared" si="561"/>
        <v>4</v>
      </c>
      <c r="FO352" s="673">
        <f t="shared" si="480"/>
        <v>34.200005506606566</v>
      </c>
      <c r="FP352" s="673">
        <f t="shared" si="537"/>
        <v>31.576723317281619</v>
      </c>
      <c r="FQ352" s="775" t="b">
        <f t="shared" si="538"/>
        <v>1</v>
      </c>
      <c r="FR352" s="673"/>
      <c r="FS352" s="775">
        <f t="shared" si="539"/>
        <v>34.200005506606566</v>
      </c>
      <c r="FT352" s="775">
        <f t="shared" si="540"/>
        <v>0.53440548306205227</v>
      </c>
      <c r="FU352" s="775">
        <f t="shared" si="541"/>
        <v>2.6246911892122408E-2</v>
      </c>
      <c r="FV352" s="775">
        <f t="shared" si="542"/>
        <v>6.1369596130579929</v>
      </c>
      <c r="FW352" s="775">
        <f t="shared" si="543"/>
        <v>3.6731313840053139</v>
      </c>
      <c r="FX352" s="775">
        <f t="shared" si="544"/>
        <v>36.931703087151831</v>
      </c>
      <c r="FY352" s="775">
        <f t="shared" si="545"/>
        <v>78.450823797720503</v>
      </c>
      <c r="FZ352" s="775">
        <f t="shared" si="546"/>
        <v>22.602605832640869</v>
      </c>
      <c r="GA352" s="775">
        <f t="shared" si="547"/>
        <v>36.091997700998085</v>
      </c>
      <c r="GB352" s="775">
        <f t="shared" si="548"/>
        <v>750.30529821912137</v>
      </c>
      <c r="GC352" s="775">
        <f t="shared" si="549"/>
        <v>108.40365787157918</v>
      </c>
      <c r="GD352" s="775">
        <f t="shared" si="550"/>
        <v>3.7679595315537262</v>
      </c>
      <c r="GE352" s="775">
        <f t="shared" si="551"/>
        <v>1.7127088779789663</v>
      </c>
      <c r="GF352" s="775">
        <f t="shared" si="552"/>
        <v>34.731924652647791</v>
      </c>
      <c r="GG352" s="775">
        <f t="shared" si="553"/>
        <v>34.200005506606566</v>
      </c>
    </row>
    <row r="353" spans="70:189">
      <c r="BR353" s="775"/>
      <c r="BS353" s="775"/>
      <c r="BT353" s="775"/>
      <c r="BU353" s="775"/>
      <c r="BV353" s="775"/>
      <c r="BW353" s="775"/>
      <c r="BX353" s="775"/>
      <c r="BY353" s="775" t="b">
        <f t="shared" si="554"/>
        <v>0</v>
      </c>
      <c r="BZ353" s="775">
        <f t="shared" si="481"/>
        <v>40.877767996501625</v>
      </c>
      <c r="CA353" s="775">
        <v>93</v>
      </c>
      <c r="CB353" s="775">
        <f t="shared" si="562"/>
        <v>46.5</v>
      </c>
      <c r="CC353" s="673">
        <f t="shared" si="482"/>
        <v>5.6222320034983753</v>
      </c>
      <c r="CD353" s="91">
        <f t="shared" si="483"/>
        <v>2</v>
      </c>
      <c r="CE353" s="775" t="b">
        <f t="shared" si="484"/>
        <v>0</v>
      </c>
      <c r="CF353" s="673"/>
      <c r="CG353" s="775">
        <f t="shared" si="485"/>
        <v>5.6222320034983753</v>
      </c>
      <c r="CH353" s="775">
        <f t="shared" si="486"/>
        <v>2.791408544614131E-2</v>
      </c>
      <c r="CI353" s="775">
        <f t="shared" si="487"/>
        <v>1.8670043182309082E-3</v>
      </c>
      <c r="CJ353" s="775">
        <f t="shared" si="488"/>
        <v>5.333792031540459</v>
      </c>
      <c r="CK353" s="775">
        <f t="shared" si="489"/>
        <v>2.6201044771617035</v>
      </c>
      <c r="CL353" s="775">
        <f t="shared" si="490"/>
        <v>4.8929879337086879</v>
      </c>
      <c r="CM353" s="775">
        <f t="shared" si="491"/>
        <v>9.6215195148900339</v>
      </c>
      <c r="CN353" s="775">
        <f t="shared" si="492"/>
        <v>2.5680563556340421</v>
      </c>
      <c r="CO353" s="775">
        <f t="shared" si="493"/>
        <v>3.6504305549082772</v>
      </c>
      <c r="CP353" s="775">
        <f t="shared" si="494"/>
        <v>34.892606807676636</v>
      </c>
      <c r="CQ353" s="775">
        <f t="shared" si="495"/>
        <v>5.6563193071375881</v>
      </c>
      <c r="CR353" s="775">
        <f t="shared" si="555"/>
        <v>40.667640793401809</v>
      </c>
      <c r="CS353" s="775">
        <f t="shared" si="496"/>
        <v>18.485291269728094</v>
      </c>
      <c r="CT353" s="775">
        <f t="shared" si="497"/>
        <v>5.6222320034983753</v>
      </c>
      <c r="CU353" s="775">
        <f t="shared" si="498"/>
        <v>3.9610174559751963</v>
      </c>
      <c r="CV353" s="775"/>
      <c r="CW353" s="775"/>
      <c r="CX353" s="775"/>
      <c r="CY353" s="775"/>
      <c r="CZ353" s="775"/>
      <c r="DA353" s="775"/>
      <c r="DB353" s="775"/>
      <c r="DC353" s="775"/>
      <c r="DD353" s="775" t="b">
        <f t="shared" si="556"/>
        <v>0</v>
      </c>
      <c r="DE353" s="775">
        <f t="shared" si="499"/>
        <v>26.075084521052752</v>
      </c>
      <c r="DF353" s="775">
        <v>93</v>
      </c>
      <c r="DG353" s="775">
        <f t="shared" si="557"/>
        <v>3.5</v>
      </c>
      <c r="DH353" s="673">
        <f t="shared" si="500"/>
        <v>29.575084521052752</v>
      </c>
      <c r="DI353" s="673">
        <f t="shared" si="501"/>
        <v>26</v>
      </c>
      <c r="DJ353" s="775" t="b">
        <f t="shared" si="502"/>
        <v>1</v>
      </c>
      <c r="DK353" s="673"/>
      <c r="DL353" s="775">
        <f t="shared" si="503"/>
        <v>29.575084521052752</v>
      </c>
      <c r="DM353" s="775">
        <f t="shared" si="504"/>
        <v>0.61788571067571318</v>
      </c>
      <c r="DN353" s="775">
        <f t="shared" si="505"/>
        <v>3.034697869225227E-2</v>
      </c>
      <c r="DO353" s="775">
        <f t="shared" si="506"/>
        <v>5.8351267837311518</v>
      </c>
      <c r="DP353" s="775">
        <f t="shared" si="507"/>
        <v>3.5624104610838243</v>
      </c>
      <c r="DQ353" s="775">
        <f t="shared" si="508"/>
        <v>29.325559722352441</v>
      </c>
      <c r="DR353" s="775">
        <f t="shared" si="509"/>
        <v>62.293751065819706</v>
      </c>
      <c r="DS353" s="775">
        <f t="shared" si="510"/>
        <v>22.067992095775548</v>
      </c>
      <c r="DT353" s="775">
        <f t="shared" si="511"/>
        <v>35.326932451799095</v>
      </c>
      <c r="DU353" s="775">
        <f t="shared" si="512"/>
        <v>867.51153778870128</v>
      </c>
      <c r="DV353" s="775">
        <f t="shared" si="513"/>
        <v>125.33754481716292</v>
      </c>
      <c r="DW353" s="775">
        <f t="shared" si="514"/>
        <v>1.8372329710595789</v>
      </c>
      <c r="DX353" s="775">
        <f t="shared" si="515"/>
        <v>0.83510589593617213</v>
      </c>
      <c r="DY353" s="775">
        <f t="shared" si="516"/>
        <v>29.575084521052752</v>
      </c>
      <c r="DZ353" s="775">
        <f t="shared" si="517"/>
        <v>33.707763097993478</v>
      </c>
      <c r="EA353" s="775"/>
      <c r="EB353" s="775"/>
      <c r="EC353" s="775"/>
      <c r="ED353" s="775"/>
      <c r="EE353" s="775"/>
      <c r="EF353" s="775" t="b">
        <f t="shared" si="558"/>
        <v>0</v>
      </c>
      <c r="EG353" s="775">
        <f t="shared" si="518"/>
        <v>40.877767996501625</v>
      </c>
      <c r="EH353" s="775">
        <v>93</v>
      </c>
      <c r="EI353" s="775">
        <f t="shared" si="563"/>
        <v>46.5</v>
      </c>
      <c r="EJ353" s="673">
        <f t="shared" si="519"/>
        <v>5.6222320034983753</v>
      </c>
      <c r="EK353" s="673">
        <f t="shared" si="520"/>
        <v>2.2510196371999172</v>
      </c>
      <c r="EL353" s="775" t="b">
        <f t="shared" si="521"/>
        <v>0</v>
      </c>
      <c r="EM353" s="673"/>
      <c r="EN353" s="775">
        <f t="shared" si="522"/>
        <v>5.6222320034983753</v>
      </c>
      <c r="EO353" s="775">
        <f t="shared" si="523"/>
        <v>2.791408544614131E-2</v>
      </c>
      <c r="EP353" s="775">
        <f t="shared" si="524"/>
        <v>1.8670043182309082E-3</v>
      </c>
      <c r="EQ353" s="775">
        <f t="shared" si="525"/>
        <v>5.333792031540459</v>
      </c>
      <c r="ER353" s="775">
        <f t="shared" si="526"/>
        <v>2.6201044771617035</v>
      </c>
      <c r="ES353" s="775">
        <f t="shared" si="527"/>
        <v>4.8929879337086879</v>
      </c>
      <c r="ET353" s="775">
        <f t="shared" si="528"/>
        <v>9.6215195148900339</v>
      </c>
      <c r="EU353" s="775">
        <f t="shared" si="529"/>
        <v>2.5680563556340421</v>
      </c>
      <c r="EV353" s="775">
        <f t="shared" si="530"/>
        <v>3.6504305549082772</v>
      </c>
      <c r="EW353" s="775">
        <f t="shared" si="531"/>
        <v>34.892606807676636</v>
      </c>
      <c r="EX353" s="775">
        <f t="shared" si="532"/>
        <v>5.6563193071375881</v>
      </c>
      <c r="EY353" s="775">
        <f t="shared" si="559"/>
        <v>40.667640793401809</v>
      </c>
      <c r="EZ353" s="775">
        <f t="shared" si="533"/>
        <v>18.485291269728094</v>
      </c>
      <c r="FA353" s="775">
        <f t="shared" si="534"/>
        <v>5.6222320034983753</v>
      </c>
      <c r="FB353" s="775">
        <f t="shared" si="535"/>
        <v>3.9610174559751963</v>
      </c>
      <c r="FC353" s="775"/>
      <c r="FD353" s="775"/>
      <c r="FE353" s="775"/>
      <c r="FF353" s="775"/>
      <c r="FG353" s="775"/>
      <c r="FH353" s="775"/>
      <c r="FI353" s="775"/>
      <c r="FJ353" s="775"/>
      <c r="FK353" s="775" t="b">
        <f t="shared" si="560"/>
        <v>0</v>
      </c>
      <c r="FL353" s="775">
        <f t="shared" si="536"/>
        <v>30.207763097993478</v>
      </c>
      <c r="FM353" s="775">
        <v>93</v>
      </c>
      <c r="FN353" s="775">
        <f t="shared" si="561"/>
        <v>3.5</v>
      </c>
      <c r="FO353" s="673">
        <f t="shared" si="480"/>
        <v>33.707763097993478</v>
      </c>
      <c r="FP353" s="673">
        <f t="shared" si="537"/>
        <v>31.576723317281619</v>
      </c>
      <c r="FQ353" s="775" t="b">
        <f t="shared" si="538"/>
        <v>1</v>
      </c>
      <c r="FR353" s="673"/>
      <c r="FS353" s="775">
        <f t="shared" si="539"/>
        <v>33.707763097993478</v>
      </c>
      <c r="FT353" s="775">
        <f t="shared" si="540"/>
        <v>0.61788571067571318</v>
      </c>
      <c r="FU353" s="775">
        <f t="shared" si="541"/>
        <v>3.034697869225227E-2</v>
      </c>
      <c r="FV353" s="775">
        <f t="shared" si="542"/>
        <v>5.8351267837311518</v>
      </c>
      <c r="FW353" s="775">
        <f t="shared" si="543"/>
        <v>3.5624104610838243</v>
      </c>
      <c r="FX353" s="775">
        <f t="shared" si="544"/>
        <v>35.615580210659267</v>
      </c>
      <c r="FY353" s="775">
        <f t="shared" si="545"/>
        <v>75.655097761577153</v>
      </c>
      <c r="FZ353" s="775">
        <f t="shared" si="546"/>
        <v>22.067992095775548</v>
      </c>
      <c r="GA353" s="775">
        <f t="shared" si="547"/>
        <v>35.326932451799095</v>
      </c>
      <c r="GB353" s="775">
        <f t="shared" si="548"/>
        <v>867.51153778870128</v>
      </c>
      <c r="GC353" s="775">
        <f t="shared" si="549"/>
        <v>125.33754481716292</v>
      </c>
      <c r="GD353" s="775">
        <f t="shared" si="550"/>
        <v>3.258884610579782</v>
      </c>
      <c r="GE353" s="775">
        <f t="shared" si="551"/>
        <v>1.4813111866271735</v>
      </c>
      <c r="GF353" s="775">
        <f t="shared" si="552"/>
        <v>33.894341564457442</v>
      </c>
      <c r="GG353" s="775">
        <f t="shared" si="553"/>
        <v>33.707763097993478</v>
      </c>
    </row>
    <row r="354" spans="70:189">
      <c r="BR354" s="775"/>
      <c r="BS354" s="775"/>
      <c r="BT354" s="775"/>
      <c r="BU354" s="775"/>
      <c r="BV354" s="775"/>
      <c r="BW354" s="775"/>
      <c r="BX354" s="775"/>
      <c r="BY354" s="775" t="b">
        <f t="shared" si="554"/>
        <v>0</v>
      </c>
      <c r="BZ354" s="775">
        <f t="shared" si="481"/>
        <v>41.360904186539905</v>
      </c>
      <c r="CA354" s="775">
        <v>94</v>
      </c>
      <c r="CB354" s="775">
        <f t="shared" si="562"/>
        <v>47</v>
      </c>
      <c r="CC354" s="673">
        <f t="shared" si="482"/>
        <v>5.6390958134600959</v>
      </c>
      <c r="CD354" s="91">
        <f t="shared" si="483"/>
        <v>2</v>
      </c>
      <c r="CE354" s="775" t="b">
        <f t="shared" si="484"/>
        <v>0</v>
      </c>
      <c r="CF354" s="673"/>
      <c r="CG354" s="775">
        <f t="shared" si="485"/>
        <v>5.6390958134600959</v>
      </c>
      <c r="CH354" s="775">
        <f t="shared" si="486"/>
        <v>2.7623035185372718E-2</v>
      </c>
      <c r="CI354" s="775">
        <f t="shared" si="487"/>
        <v>1.8475377269028261E-3</v>
      </c>
      <c r="CJ354" s="775">
        <f t="shared" si="488"/>
        <v>5.3364524843478645</v>
      </c>
      <c r="CK354" s="775">
        <f t="shared" si="489"/>
        <v>2.620733303258632</v>
      </c>
      <c r="CL354" s="775">
        <f t="shared" si="490"/>
        <v>4.9058260670835239</v>
      </c>
      <c r="CM354" s="775">
        <f t="shared" si="491"/>
        <v>9.6467642840319705</v>
      </c>
      <c r="CN354" s="775">
        <f t="shared" si="492"/>
        <v>2.5716068357870152</v>
      </c>
      <c r="CO354" s="775">
        <f t="shared" si="493"/>
        <v>3.655352815464652</v>
      </c>
      <c r="CP354" s="775">
        <f t="shared" si="494"/>
        <v>34.5287939817159</v>
      </c>
      <c r="CQ354" s="775">
        <f t="shared" si="495"/>
        <v>5.5973428734475359</v>
      </c>
      <c r="CR354" s="775">
        <f t="shared" si="555"/>
        <v>41.096135612248894</v>
      </c>
      <c r="CS354" s="775">
        <f t="shared" si="496"/>
        <v>18.680061641931314</v>
      </c>
      <c r="CT354" s="775">
        <f t="shared" si="497"/>
        <v>5.6390958134600959</v>
      </c>
      <c r="CU354" s="775">
        <f t="shared" si="498"/>
        <v>3.9677135483915569</v>
      </c>
      <c r="CV354" s="775"/>
      <c r="CW354" s="775"/>
      <c r="CX354" s="775"/>
      <c r="CY354" s="775"/>
      <c r="CZ354" s="775"/>
      <c r="DA354" s="775"/>
      <c r="DB354" s="775"/>
      <c r="DC354" s="775"/>
      <c r="DD354" s="775" t="b">
        <f t="shared" si="556"/>
        <v>0</v>
      </c>
      <c r="DE354" s="775">
        <f t="shared" si="499"/>
        <v>25.6838273266656</v>
      </c>
      <c r="DF354" s="775">
        <v>94</v>
      </c>
      <c r="DG354" s="775">
        <f t="shared" si="557"/>
        <v>3</v>
      </c>
      <c r="DH354" s="673">
        <f t="shared" si="500"/>
        <v>28.6838273266656</v>
      </c>
      <c r="DI354" s="673">
        <f t="shared" si="501"/>
        <v>26</v>
      </c>
      <c r="DJ354" s="775" t="b">
        <f t="shared" si="502"/>
        <v>1</v>
      </c>
      <c r="DK354" s="673"/>
      <c r="DL354" s="775">
        <f t="shared" si="503"/>
        <v>28.6838273266656</v>
      </c>
      <c r="DM354" s="775">
        <f t="shared" si="504"/>
        <v>0.73059940148148128</v>
      </c>
      <c r="DN354" s="775">
        <f t="shared" si="505"/>
        <v>3.5882824422471718E-2</v>
      </c>
      <c r="DO354" s="775">
        <f t="shared" si="506"/>
        <v>5.4831440480301108</v>
      </c>
      <c r="DP354" s="775">
        <f t="shared" si="507"/>
        <v>3.4276586712073636</v>
      </c>
      <c r="DQ354" s="775">
        <f t="shared" si="508"/>
        <v>28.122473741913769</v>
      </c>
      <c r="DR354" s="775">
        <f t="shared" si="509"/>
        <v>59.738139534930482</v>
      </c>
      <c r="DS354" s="775">
        <f t="shared" si="510"/>
        <v>21.462684488802385</v>
      </c>
      <c r="DT354" s="775">
        <f t="shared" si="511"/>
        <v>34.459640681207794</v>
      </c>
      <c r="DU354" s="775">
        <f t="shared" si="512"/>
        <v>1025.7615596799997</v>
      </c>
      <c r="DV354" s="775">
        <f t="shared" si="513"/>
        <v>148.20141272798801</v>
      </c>
      <c r="DW354" s="775">
        <f t="shared" si="514"/>
        <v>1.5537926772155646</v>
      </c>
      <c r="DX354" s="775">
        <f t="shared" si="515"/>
        <v>0.70626939873434746</v>
      </c>
      <c r="DY354" s="775">
        <f t="shared" si="516"/>
        <v>28.6838273266656</v>
      </c>
      <c r="DZ354" s="775">
        <f t="shared" si="517"/>
        <v>33.140765367877144</v>
      </c>
      <c r="EA354" s="775"/>
      <c r="EB354" s="775"/>
      <c r="EC354" s="775"/>
      <c r="ED354" s="775"/>
      <c r="EE354" s="775"/>
      <c r="EF354" s="775" t="b">
        <f t="shared" si="558"/>
        <v>0</v>
      </c>
      <c r="EG354" s="775">
        <f t="shared" si="518"/>
        <v>41.360904186539905</v>
      </c>
      <c r="EH354" s="775">
        <v>94</v>
      </c>
      <c r="EI354" s="775">
        <f t="shared" si="563"/>
        <v>47</v>
      </c>
      <c r="EJ354" s="673">
        <f t="shared" si="519"/>
        <v>5.6390958134600959</v>
      </c>
      <c r="EK354" s="673">
        <f t="shared" si="520"/>
        <v>2.2510196371999172</v>
      </c>
      <c r="EL354" s="775" t="b">
        <f t="shared" si="521"/>
        <v>0</v>
      </c>
      <c r="EM354" s="673"/>
      <c r="EN354" s="775">
        <f t="shared" si="522"/>
        <v>5.6390958134600959</v>
      </c>
      <c r="EO354" s="775">
        <f t="shared" si="523"/>
        <v>2.7623035185372718E-2</v>
      </c>
      <c r="EP354" s="775">
        <f t="shared" si="524"/>
        <v>1.8475377269028261E-3</v>
      </c>
      <c r="EQ354" s="775">
        <f t="shared" si="525"/>
        <v>5.3364524843478645</v>
      </c>
      <c r="ER354" s="775">
        <f t="shared" si="526"/>
        <v>2.620733303258632</v>
      </c>
      <c r="ES354" s="775">
        <f t="shared" si="527"/>
        <v>4.9058260670835239</v>
      </c>
      <c r="ET354" s="775">
        <f t="shared" si="528"/>
        <v>9.6467642840319705</v>
      </c>
      <c r="EU354" s="775">
        <f t="shared" si="529"/>
        <v>2.5716068357870152</v>
      </c>
      <c r="EV354" s="775">
        <f t="shared" si="530"/>
        <v>3.655352815464652</v>
      </c>
      <c r="EW354" s="775">
        <f t="shared" si="531"/>
        <v>34.5287939817159</v>
      </c>
      <c r="EX354" s="775">
        <f t="shared" si="532"/>
        <v>5.5973428734475359</v>
      </c>
      <c r="EY354" s="775">
        <f t="shared" si="559"/>
        <v>41.096135612248894</v>
      </c>
      <c r="EZ354" s="775">
        <f t="shared" si="533"/>
        <v>18.680061641931314</v>
      </c>
      <c r="FA354" s="775">
        <f t="shared" si="534"/>
        <v>5.6390958134600959</v>
      </c>
      <c r="FB354" s="775">
        <f t="shared" si="535"/>
        <v>3.9677135483915569</v>
      </c>
      <c r="FC354" s="775"/>
      <c r="FD354" s="775"/>
      <c r="FE354" s="775"/>
      <c r="FF354" s="775"/>
      <c r="FG354" s="775"/>
      <c r="FH354" s="775"/>
      <c r="FI354" s="775"/>
      <c r="FJ354" s="775"/>
      <c r="FK354" s="775" t="b">
        <f t="shared" si="560"/>
        <v>0</v>
      </c>
      <c r="FL354" s="775">
        <f t="shared" si="536"/>
        <v>30.140765367877144</v>
      </c>
      <c r="FM354" s="775">
        <v>94</v>
      </c>
      <c r="FN354" s="775">
        <f t="shared" si="561"/>
        <v>3</v>
      </c>
      <c r="FO354" s="673">
        <f t="shared" si="480"/>
        <v>33.140765367877144</v>
      </c>
      <c r="FP354" s="673">
        <f t="shared" si="537"/>
        <v>31.576723317281619</v>
      </c>
      <c r="FQ354" s="775" t="b">
        <f t="shared" si="538"/>
        <v>1</v>
      </c>
      <c r="FR354" s="673"/>
      <c r="FS354" s="775">
        <f t="shared" si="539"/>
        <v>33.140765367877144</v>
      </c>
      <c r="FT354" s="775">
        <f t="shared" si="540"/>
        <v>0.73059940148148128</v>
      </c>
      <c r="FU354" s="775">
        <f t="shared" si="541"/>
        <v>3.5882824422471718E-2</v>
      </c>
      <c r="FV354" s="775">
        <f t="shared" si="542"/>
        <v>5.4831440480301108</v>
      </c>
      <c r="FW354" s="775">
        <f t="shared" si="543"/>
        <v>3.4276586712073636</v>
      </c>
      <c r="FX354" s="775">
        <f t="shared" si="544"/>
        <v>34.154445090228023</v>
      </c>
      <c r="FY354" s="775">
        <f t="shared" si="545"/>
        <v>72.551334753217787</v>
      </c>
      <c r="FZ354" s="775">
        <f t="shared" si="546"/>
        <v>21.462684488802385</v>
      </c>
      <c r="GA354" s="775">
        <f t="shared" si="547"/>
        <v>34.459640681207794</v>
      </c>
      <c r="GB354" s="775">
        <f t="shared" si="548"/>
        <v>1025.7615596799997</v>
      </c>
      <c r="GC354" s="775">
        <f t="shared" si="549"/>
        <v>148.20141272798801</v>
      </c>
      <c r="GD354" s="775">
        <f t="shared" si="550"/>
        <v>2.7561180991047842</v>
      </c>
      <c r="GE354" s="775">
        <f t="shared" si="551"/>
        <v>1.2527809541385382</v>
      </c>
      <c r="GF354" s="775">
        <f t="shared" si="552"/>
        <v>32.938927723177571</v>
      </c>
      <c r="GG354" s="775">
        <f t="shared" si="553"/>
        <v>33.140765367877144</v>
      </c>
    </row>
    <row r="355" spans="70:189">
      <c r="BR355" s="775"/>
      <c r="BS355" s="775"/>
      <c r="BT355" s="775"/>
      <c r="BU355" s="775"/>
      <c r="BV355" s="775"/>
      <c r="BW355" s="775"/>
      <c r="BX355" s="775"/>
      <c r="BY355" s="775" t="b">
        <f t="shared" si="554"/>
        <v>0</v>
      </c>
      <c r="BZ355" s="775">
        <f t="shared" si="481"/>
        <v>41.84418123966276</v>
      </c>
      <c r="CA355" s="775">
        <v>95</v>
      </c>
      <c r="CB355" s="775">
        <f t="shared" si="562"/>
        <v>47.5</v>
      </c>
      <c r="CC355" s="673">
        <f t="shared" si="482"/>
        <v>5.6558187603372367</v>
      </c>
      <c r="CD355" s="91">
        <f t="shared" si="483"/>
        <v>2</v>
      </c>
      <c r="CE355" s="775" t="b">
        <f t="shared" si="484"/>
        <v>0</v>
      </c>
      <c r="CF355" s="673"/>
      <c r="CG355" s="775">
        <f t="shared" si="485"/>
        <v>5.6558187603372367</v>
      </c>
      <c r="CH355" s="775">
        <f t="shared" si="486"/>
        <v>2.7338051666754681E-2</v>
      </c>
      <c r="CI355" s="775">
        <f t="shared" si="487"/>
        <v>1.828476903258394E-3</v>
      </c>
      <c r="CJ355" s="775">
        <f t="shared" si="488"/>
        <v>5.339060827576712</v>
      </c>
      <c r="CK355" s="775">
        <f t="shared" si="489"/>
        <v>2.6213494608136707</v>
      </c>
      <c r="CL355" s="775">
        <f t="shared" si="490"/>
        <v>4.918561496003945</v>
      </c>
      <c r="CM355" s="775">
        <f t="shared" si="491"/>
        <v>9.6718070962253453</v>
      </c>
      <c r="CN355" s="775">
        <f t="shared" si="492"/>
        <v>2.5751241271154957</v>
      </c>
      <c r="CO355" s="775">
        <f t="shared" si="493"/>
        <v>3.6602291779587173</v>
      </c>
      <c r="CP355" s="775">
        <f t="shared" si="494"/>
        <v>34.172564583443354</v>
      </c>
      <c r="CQ355" s="775">
        <f t="shared" si="495"/>
        <v>5.5395957628826782</v>
      </c>
      <c r="CR355" s="775">
        <f t="shared" si="555"/>
        <v>41.524539269947191</v>
      </c>
      <c r="CS355" s="775">
        <f t="shared" si="496"/>
        <v>18.874790577248721</v>
      </c>
      <c r="CT355" s="775">
        <f t="shared" si="497"/>
        <v>5.6558187603372367</v>
      </c>
      <c r="CU355" s="775">
        <f t="shared" si="498"/>
        <v>3.9743462818349871</v>
      </c>
      <c r="CV355" s="775"/>
      <c r="CW355" s="775"/>
      <c r="CX355" s="775"/>
      <c r="CY355" s="775"/>
      <c r="CZ355" s="775"/>
      <c r="DA355" s="775"/>
      <c r="DB355" s="775"/>
      <c r="DC355" s="775"/>
      <c r="DD355" s="775" t="b">
        <f t="shared" si="556"/>
        <v>0</v>
      </c>
      <c r="DE355" s="775">
        <f t="shared" si="499"/>
        <v>25.149233346658249</v>
      </c>
      <c r="DF355" s="775">
        <v>95</v>
      </c>
      <c r="DG355" s="775">
        <f t="shared" si="557"/>
        <v>2.5</v>
      </c>
      <c r="DH355" s="673">
        <f t="shared" si="500"/>
        <v>27.649233346658249</v>
      </c>
      <c r="DI355" s="673">
        <f t="shared" si="501"/>
        <v>26</v>
      </c>
      <c r="DJ355" s="775" t="b">
        <f t="shared" si="502"/>
        <v>1</v>
      </c>
      <c r="DK355" s="673"/>
      <c r="DL355" s="775">
        <f t="shared" si="503"/>
        <v>27.649233346658249</v>
      </c>
      <c r="DM355" s="775">
        <f t="shared" si="504"/>
        <v>0.89073665924351375</v>
      </c>
      <c r="DN355" s="775">
        <f t="shared" si="505"/>
        <v>4.374784195755213E-2</v>
      </c>
      <c r="DO355" s="775">
        <f t="shared" si="506"/>
        <v>5.0669674610013091</v>
      </c>
      <c r="DP355" s="775">
        <f t="shared" si="507"/>
        <v>3.2600791790172332</v>
      </c>
      <c r="DQ355" s="775">
        <f t="shared" si="508"/>
        <v>26.763075319807143</v>
      </c>
      <c r="DR355" s="775">
        <f t="shared" si="509"/>
        <v>56.850486998790416</v>
      </c>
      <c r="DS355" s="775">
        <f t="shared" si="510"/>
        <v>20.762929325865212</v>
      </c>
      <c r="DT355" s="775">
        <f t="shared" si="511"/>
        <v>33.455455617957256</v>
      </c>
      <c r="DU355" s="775">
        <f t="shared" si="512"/>
        <v>1250.5942695778933</v>
      </c>
      <c r="DV355" s="775">
        <f t="shared" si="513"/>
        <v>180.68510732532167</v>
      </c>
      <c r="DW355" s="775">
        <f t="shared" si="514"/>
        <v>1.2744507461544297</v>
      </c>
      <c r="DX355" s="775">
        <f t="shared" si="515"/>
        <v>0.57929579370655893</v>
      </c>
      <c r="DY355" s="775">
        <f t="shared" si="516"/>
        <v>27.649233346658249</v>
      </c>
      <c r="DZ355" s="775">
        <f t="shared" si="517"/>
        <v>32.472035319015575</v>
      </c>
      <c r="EA355" s="775"/>
      <c r="EB355" s="775"/>
      <c r="EC355" s="775"/>
      <c r="ED355" s="775"/>
      <c r="EE355" s="775"/>
      <c r="EF355" s="775" t="b">
        <f t="shared" si="558"/>
        <v>0</v>
      </c>
      <c r="EG355" s="775">
        <f t="shared" si="518"/>
        <v>41.84418123966276</v>
      </c>
      <c r="EH355" s="775">
        <v>95</v>
      </c>
      <c r="EI355" s="775">
        <f t="shared" si="563"/>
        <v>47.5</v>
      </c>
      <c r="EJ355" s="673">
        <f t="shared" si="519"/>
        <v>5.6558187603372367</v>
      </c>
      <c r="EK355" s="673">
        <f t="shared" si="520"/>
        <v>2.2510196371999172</v>
      </c>
      <c r="EL355" s="775" t="b">
        <f t="shared" si="521"/>
        <v>0</v>
      </c>
      <c r="EM355" s="673"/>
      <c r="EN355" s="775">
        <f t="shared" si="522"/>
        <v>5.6558187603372367</v>
      </c>
      <c r="EO355" s="775">
        <f t="shared" si="523"/>
        <v>2.7338051666754681E-2</v>
      </c>
      <c r="EP355" s="775">
        <f t="shared" si="524"/>
        <v>1.828476903258394E-3</v>
      </c>
      <c r="EQ355" s="775">
        <f t="shared" si="525"/>
        <v>5.339060827576712</v>
      </c>
      <c r="ER355" s="775">
        <f t="shared" si="526"/>
        <v>2.6213494608136707</v>
      </c>
      <c r="ES355" s="775">
        <f t="shared" si="527"/>
        <v>4.918561496003945</v>
      </c>
      <c r="ET355" s="775">
        <f t="shared" si="528"/>
        <v>9.6718070962253453</v>
      </c>
      <c r="EU355" s="775">
        <f t="shared" si="529"/>
        <v>2.5751241271154957</v>
      </c>
      <c r="EV355" s="775">
        <f t="shared" si="530"/>
        <v>3.6602291779587173</v>
      </c>
      <c r="EW355" s="775">
        <f t="shared" si="531"/>
        <v>34.172564583443354</v>
      </c>
      <c r="EX355" s="775">
        <f t="shared" si="532"/>
        <v>5.5395957628826782</v>
      </c>
      <c r="EY355" s="775">
        <f t="shared" si="559"/>
        <v>41.524539269947191</v>
      </c>
      <c r="EZ355" s="775">
        <f t="shared" si="533"/>
        <v>18.874790577248721</v>
      </c>
      <c r="FA355" s="775">
        <f t="shared" si="534"/>
        <v>5.6558187603372367</v>
      </c>
      <c r="FB355" s="775">
        <f t="shared" si="535"/>
        <v>3.9743462818349871</v>
      </c>
      <c r="FC355" s="775"/>
      <c r="FD355" s="775"/>
      <c r="FE355" s="775"/>
      <c r="FF355" s="775"/>
      <c r="FG355" s="775"/>
      <c r="FH355" s="775"/>
      <c r="FI355" s="775"/>
      <c r="FJ355" s="775"/>
      <c r="FK355" s="775" t="b">
        <f t="shared" si="560"/>
        <v>0</v>
      </c>
      <c r="FL355" s="775">
        <f t="shared" si="536"/>
        <v>29.972035319015575</v>
      </c>
      <c r="FM355" s="775">
        <v>95</v>
      </c>
      <c r="FN355" s="775">
        <f t="shared" si="561"/>
        <v>2.5</v>
      </c>
      <c r="FO355" s="673">
        <f t="shared" si="480"/>
        <v>32.472035319015575</v>
      </c>
      <c r="FP355" s="673">
        <f t="shared" si="537"/>
        <v>31.576723317281619</v>
      </c>
      <c r="FQ355" s="775" t="b">
        <f t="shared" si="538"/>
        <v>1</v>
      </c>
      <c r="FR355" s="673"/>
      <c r="FS355" s="775">
        <f t="shared" si="539"/>
        <v>32.472035319015575</v>
      </c>
      <c r="FT355" s="775">
        <f t="shared" si="540"/>
        <v>0.89073665924351375</v>
      </c>
      <c r="FU355" s="775">
        <f t="shared" si="541"/>
        <v>4.374784195755213E-2</v>
      </c>
      <c r="FV355" s="775">
        <f t="shared" si="542"/>
        <v>5.0669674610013091</v>
      </c>
      <c r="FW355" s="775">
        <f t="shared" si="543"/>
        <v>3.2600791790172332</v>
      </c>
      <c r="FX355" s="775">
        <f t="shared" si="544"/>
        <v>32.50347017281225</v>
      </c>
      <c r="FY355" s="775">
        <f t="shared" si="545"/>
        <v>69.044311477443102</v>
      </c>
      <c r="FZ355" s="775">
        <f t="shared" si="546"/>
        <v>20.762929325865212</v>
      </c>
      <c r="GA355" s="775">
        <f t="shared" si="547"/>
        <v>33.455455617957256</v>
      </c>
      <c r="GB355" s="775">
        <f t="shared" si="548"/>
        <v>1250.5942695778933</v>
      </c>
      <c r="GC355" s="775">
        <f t="shared" si="549"/>
        <v>180.68510732532167</v>
      </c>
      <c r="GD355" s="775">
        <f t="shared" si="550"/>
        <v>2.260621265243941</v>
      </c>
      <c r="GE355" s="775">
        <f t="shared" si="551"/>
        <v>1.0275551205654276</v>
      </c>
      <c r="GF355" s="775">
        <f t="shared" si="552"/>
        <v>31.825596639004111</v>
      </c>
      <c r="GG355" s="775">
        <f t="shared" si="553"/>
        <v>32.472035319015575</v>
      </c>
    </row>
    <row r="356" spans="70:189">
      <c r="BR356" s="775"/>
      <c r="BS356" s="775"/>
      <c r="BT356" s="775"/>
      <c r="BU356" s="775"/>
      <c r="BV356" s="775"/>
      <c r="BW356" s="775"/>
      <c r="BX356" s="775"/>
      <c r="BY356" s="775" t="b">
        <f t="shared" si="554"/>
        <v>0</v>
      </c>
      <c r="BZ356" s="775">
        <f t="shared" si="481"/>
        <v>42.327596529003756</v>
      </c>
      <c r="CA356" s="775">
        <v>96</v>
      </c>
      <c r="CB356" s="775">
        <f t="shared" si="562"/>
        <v>48</v>
      </c>
      <c r="CC356" s="673">
        <f t="shared" si="482"/>
        <v>5.6724034709962403</v>
      </c>
      <c r="CD356" s="91">
        <f t="shared" si="483"/>
        <v>2</v>
      </c>
      <c r="CE356" s="775" t="b">
        <f t="shared" si="484"/>
        <v>0</v>
      </c>
      <c r="CF356" s="673"/>
      <c r="CG356" s="775">
        <f t="shared" si="485"/>
        <v>5.6724034709962403</v>
      </c>
      <c r="CH356" s="775">
        <f t="shared" si="486"/>
        <v>2.7058946548742975E-2</v>
      </c>
      <c r="CI356" s="775">
        <f t="shared" si="487"/>
        <v>1.8098092502710297E-3</v>
      </c>
      <c r="CJ356" s="775">
        <f t="shared" si="488"/>
        <v>5.3416185834518677</v>
      </c>
      <c r="CK356" s="775">
        <f t="shared" si="489"/>
        <v>2.6219533302211691</v>
      </c>
      <c r="CL356" s="775">
        <f t="shared" si="490"/>
        <v>4.9311961103499984</v>
      </c>
      <c r="CM356" s="775">
        <f t="shared" si="491"/>
        <v>9.6966516677102241</v>
      </c>
      <c r="CN356" s="775">
        <f t="shared" si="492"/>
        <v>2.5786088847201833</v>
      </c>
      <c r="CO356" s="775">
        <f t="shared" si="493"/>
        <v>3.6650605471627702</v>
      </c>
      <c r="CP356" s="775">
        <f t="shared" si="494"/>
        <v>33.823683185928722</v>
      </c>
      <c r="CQ356" s="775">
        <f t="shared" si="495"/>
        <v>5.4830398112009888</v>
      </c>
      <c r="CR356" s="775">
        <f t="shared" si="555"/>
        <v>41.952852745212866</v>
      </c>
      <c r="CS356" s="775">
        <f t="shared" si="496"/>
        <v>19.0694785205513</v>
      </c>
      <c r="CT356" s="775">
        <f t="shared" si="497"/>
        <v>5.6724034709962403</v>
      </c>
      <c r="CU356" s="775">
        <f t="shared" si="498"/>
        <v>3.9809169127678148</v>
      </c>
      <c r="CV356" s="775"/>
      <c r="CW356" s="775"/>
      <c r="CX356" s="775"/>
      <c r="CY356" s="775"/>
      <c r="CZ356" s="775"/>
      <c r="DA356" s="775"/>
      <c r="DB356" s="775"/>
      <c r="DC356" s="775"/>
      <c r="DD356" s="775" t="b">
        <f t="shared" si="556"/>
        <v>0</v>
      </c>
      <c r="DE356" s="775">
        <f t="shared" si="499"/>
        <v>24.412639206187265</v>
      </c>
      <c r="DF356" s="775">
        <v>96</v>
      </c>
      <c r="DG356" s="775">
        <f t="shared" si="557"/>
        <v>2</v>
      </c>
      <c r="DH356" s="673">
        <f t="shared" si="500"/>
        <v>26.412639206187265</v>
      </c>
      <c r="DI356" s="673">
        <f t="shared" si="501"/>
        <v>26</v>
      </c>
      <c r="DJ356" s="775" t="b">
        <f t="shared" si="502"/>
        <v>1</v>
      </c>
      <c r="DK356" s="673"/>
      <c r="DL356" s="775">
        <f t="shared" si="503"/>
        <v>26.412639206187265</v>
      </c>
      <c r="DM356" s="775">
        <f t="shared" si="504"/>
        <v>1.1352473862957122</v>
      </c>
      <c r="DN356" s="775">
        <f t="shared" si="505"/>
        <v>5.5756797166704918E-2</v>
      </c>
      <c r="DO356" s="775">
        <f t="shared" si="506"/>
        <v>4.5661997955977425</v>
      </c>
      <c r="DP356" s="775">
        <f t="shared" si="507"/>
        <v>3.0458055056230422</v>
      </c>
      <c r="DQ356" s="775">
        <f t="shared" si="508"/>
        <v>25.188408054589662</v>
      </c>
      <c r="DR356" s="775">
        <f t="shared" si="509"/>
        <v>53.505557471113377</v>
      </c>
      <c r="DS356" s="775">
        <f t="shared" si="510"/>
        <v>19.929953116735657</v>
      </c>
      <c r="DT356" s="775">
        <f t="shared" si="511"/>
        <v>32.257603059883522</v>
      </c>
      <c r="DU356" s="775">
        <f t="shared" si="512"/>
        <v>1593.8873303591799</v>
      </c>
      <c r="DV356" s="775">
        <f t="shared" si="513"/>
        <v>230.28388211599852</v>
      </c>
      <c r="DW356" s="775">
        <f t="shared" si="514"/>
        <v>0.99995825905764313</v>
      </c>
      <c r="DX356" s="775">
        <f t="shared" si="515"/>
        <v>0.45452648138983776</v>
      </c>
      <c r="DY356" s="775">
        <f t="shared" si="516"/>
        <v>26.412639206187265</v>
      </c>
      <c r="DZ356" s="775">
        <f t="shared" si="517"/>
        <v>31.656626399132936</v>
      </c>
      <c r="EA356" s="775"/>
      <c r="EB356" s="775"/>
      <c r="EC356" s="775"/>
      <c r="ED356" s="775"/>
      <c r="EE356" s="775"/>
      <c r="EF356" s="775" t="b">
        <f t="shared" si="558"/>
        <v>0</v>
      </c>
      <c r="EG356" s="775">
        <f t="shared" si="518"/>
        <v>42.327596529003756</v>
      </c>
      <c r="EH356" s="775">
        <v>96</v>
      </c>
      <c r="EI356" s="775">
        <f t="shared" si="563"/>
        <v>48</v>
      </c>
      <c r="EJ356" s="673">
        <f t="shared" si="519"/>
        <v>5.6724034709962403</v>
      </c>
      <c r="EK356" s="673">
        <f t="shared" si="520"/>
        <v>2.2510196371999172</v>
      </c>
      <c r="EL356" s="775" t="b">
        <f t="shared" si="521"/>
        <v>0</v>
      </c>
      <c r="EM356" s="673"/>
      <c r="EN356" s="775">
        <f t="shared" si="522"/>
        <v>5.6724034709962403</v>
      </c>
      <c r="EO356" s="775">
        <f t="shared" si="523"/>
        <v>2.7058946548742975E-2</v>
      </c>
      <c r="EP356" s="775">
        <f t="shared" si="524"/>
        <v>1.8098092502710297E-3</v>
      </c>
      <c r="EQ356" s="775">
        <f t="shared" si="525"/>
        <v>5.3416185834518677</v>
      </c>
      <c r="ER356" s="775">
        <f t="shared" si="526"/>
        <v>2.6219533302211691</v>
      </c>
      <c r="ES356" s="775">
        <f t="shared" si="527"/>
        <v>4.9311961103499984</v>
      </c>
      <c r="ET356" s="775">
        <f t="shared" si="528"/>
        <v>9.6966516677102241</v>
      </c>
      <c r="EU356" s="775">
        <f t="shared" si="529"/>
        <v>2.5786088847201833</v>
      </c>
      <c r="EV356" s="775">
        <f t="shared" si="530"/>
        <v>3.6650605471627702</v>
      </c>
      <c r="EW356" s="775">
        <f t="shared" si="531"/>
        <v>33.823683185928722</v>
      </c>
      <c r="EX356" s="775">
        <f t="shared" si="532"/>
        <v>5.4830398112009888</v>
      </c>
      <c r="EY356" s="775">
        <f t="shared" si="559"/>
        <v>41.952852745212866</v>
      </c>
      <c r="EZ356" s="775">
        <f t="shared" si="533"/>
        <v>19.0694785205513</v>
      </c>
      <c r="FA356" s="775">
        <f t="shared" si="534"/>
        <v>5.6724034709962403</v>
      </c>
      <c r="FB356" s="775">
        <f t="shared" si="535"/>
        <v>3.9809169127678148</v>
      </c>
      <c r="FC356" s="775"/>
      <c r="FD356" s="775"/>
      <c r="FE356" s="775"/>
      <c r="FF356" s="775"/>
      <c r="FG356" s="775"/>
      <c r="FH356" s="775"/>
      <c r="FI356" s="775"/>
      <c r="FJ356" s="775"/>
      <c r="FK356" s="775" t="b">
        <f t="shared" si="560"/>
        <v>0</v>
      </c>
      <c r="FL356" s="775">
        <f t="shared" si="536"/>
        <v>29.656626399132936</v>
      </c>
      <c r="FM356" s="775">
        <v>96</v>
      </c>
      <c r="FN356" s="775">
        <f t="shared" si="561"/>
        <v>2</v>
      </c>
      <c r="FO356" s="673">
        <f t="shared" si="480"/>
        <v>31.656626399132936</v>
      </c>
      <c r="FP356" s="673">
        <f t="shared" si="537"/>
        <v>31.576723317281619</v>
      </c>
      <c r="FQ356" s="775" t="b">
        <f t="shared" si="538"/>
        <v>1</v>
      </c>
      <c r="FR356" s="673"/>
      <c r="FS356" s="775">
        <f t="shared" si="539"/>
        <v>31.656626399132936</v>
      </c>
      <c r="FT356" s="775">
        <f t="shared" si="540"/>
        <v>1.1352473862957122</v>
      </c>
      <c r="FU356" s="775">
        <f t="shared" si="541"/>
        <v>5.5756797166704918E-2</v>
      </c>
      <c r="FV356" s="775">
        <f t="shared" si="542"/>
        <v>4.5661997955977425</v>
      </c>
      <c r="FW356" s="775">
        <f t="shared" si="543"/>
        <v>3.0458055056230422</v>
      </c>
      <c r="FX356" s="775">
        <f t="shared" si="544"/>
        <v>30.59105353625252</v>
      </c>
      <c r="FY356" s="775">
        <f t="shared" si="545"/>
        <v>64.981930161625286</v>
      </c>
      <c r="FZ356" s="775">
        <f t="shared" si="546"/>
        <v>19.929953116735657</v>
      </c>
      <c r="GA356" s="775">
        <f t="shared" si="547"/>
        <v>32.257603059883522</v>
      </c>
      <c r="GB356" s="775">
        <f t="shared" si="548"/>
        <v>1593.8873303591799</v>
      </c>
      <c r="GC356" s="775">
        <f t="shared" si="549"/>
        <v>230.28388211599852</v>
      </c>
      <c r="GD356" s="775">
        <f t="shared" si="550"/>
        <v>1.7737263771103022</v>
      </c>
      <c r="GE356" s="775">
        <f t="shared" si="551"/>
        <v>0.80623926232286458</v>
      </c>
      <c r="GF356" s="775">
        <f t="shared" si="552"/>
        <v>30.488846070877205</v>
      </c>
      <c r="GG356" s="775">
        <f t="shared" si="553"/>
        <v>31.656626399132936</v>
      </c>
    </row>
    <row r="357" spans="70:189">
      <c r="BR357" s="775"/>
      <c r="BS357" s="775"/>
      <c r="BT357" s="775"/>
      <c r="BU357" s="775"/>
      <c r="BV357" s="775"/>
      <c r="BW357" s="775"/>
      <c r="BX357" s="775"/>
      <c r="BY357" s="775" t="b">
        <f t="shared" si="554"/>
        <v>0</v>
      </c>
      <c r="BZ357" s="775">
        <f t="shared" si="481"/>
        <v>42.81114750334411</v>
      </c>
      <c r="CA357" s="775">
        <v>97</v>
      </c>
      <c r="CB357" s="775">
        <f t="shared" si="562"/>
        <v>48.5</v>
      </c>
      <c r="CC357" s="673">
        <f t="shared" si="482"/>
        <v>5.6888524966558913</v>
      </c>
      <c r="CD357" s="91">
        <f t="shared" si="483"/>
        <v>2</v>
      </c>
      <c r="CE357" s="775" t="b">
        <f t="shared" si="484"/>
        <v>0</v>
      </c>
      <c r="CF357" s="673"/>
      <c r="CG357" s="775">
        <f t="shared" si="485"/>
        <v>5.6888524966558913</v>
      </c>
      <c r="CH357" s="775">
        <f t="shared" si="486"/>
        <v>2.6785539218425431E-2</v>
      </c>
      <c r="CI357" s="775">
        <f t="shared" si="487"/>
        <v>1.791522687835598E-3</v>
      </c>
      <c r="CJ357" s="775">
        <f t="shared" si="488"/>
        <v>5.344127215348303</v>
      </c>
      <c r="CK357" s="775">
        <f t="shared" si="489"/>
        <v>2.622545276768268</v>
      </c>
      <c r="CL357" s="775">
        <f t="shared" si="490"/>
        <v>4.9437317459762466</v>
      </c>
      <c r="CM357" s="775">
        <f t="shared" si="491"/>
        <v>9.7213016084915154</v>
      </c>
      <c r="CN357" s="775">
        <f t="shared" si="492"/>
        <v>2.5820617441084881</v>
      </c>
      <c r="CO357" s="775">
        <f t="shared" si="493"/>
        <v>3.6698478008126512</v>
      </c>
      <c r="CP357" s="775">
        <f t="shared" si="494"/>
        <v>33.481924023031787</v>
      </c>
      <c r="CQ357" s="775">
        <f t="shared" si="495"/>
        <v>5.4276384202375656</v>
      </c>
      <c r="CR357" s="775">
        <f t="shared" si="555"/>
        <v>42.381076996169277</v>
      </c>
      <c r="CS357" s="775">
        <f t="shared" si="496"/>
        <v>19.264125907349669</v>
      </c>
      <c r="CT357" s="775">
        <f t="shared" si="497"/>
        <v>5.6888524966558913</v>
      </c>
      <c r="CU357" s="775">
        <f t="shared" si="498"/>
        <v>3.9874266599691746</v>
      </c>
      <c r="CV357" s="775"/>
      <c r="CW357" s="775"/>
      <c r="CX357" s="775"/>
      <c r="CY357" s="775"/>
      <c r="CZ357" s="775"/>
      <c r="DA357" s="775"/>
      <c r="DB357" s="775"/>
      <c r="DC357" s="775"/>
      <c r="DD357" s="775" t="b">
        <f t="shared" si="556"/>
        <v>0</v>
      </c>
      <c r="DE357" s="775">
        <f t="shared" si="499"/>
        <v>23.367960947071285</v>
      </c>
      <c r="DF357" s="775">
        <v>97</v>
      </c>
      <c r="DG357" s="775">
        <f t="shared" si="557"/>
        <v>1.5</v>
      </c>
      <c r="DH357" s="673">
        <f t="shared" si="500"/>
        <v>24.867960947071285</v>
      </c>
      <c r="DI357" s="673">
        <f t="shared" si="501"/>
        <v>26</v>
      </c>
      <c r="DJ357" s="775" t="b">
        <f t="shared" si="502"/>
        <v>1</v>
      </c>
      <c r="DK357" s="673"/>
      <c r="DL357" s="775">
        <f t="shared" si="503"/>
        <v>24.867960947071285</v>
      </c>
      <c r="DM357" s="775">
        <f t="shared" si="504"/>
        <v>1.5520257318631532</v>
      </c>
      <c r="DN357" s="775">
        <f t="shared" si="505"/>
        <v>7.6226543195457727E-2</v>
      </c>
      <c r="DO357" s="775">
        <f t="shared" si="506"/>
        <v>3.9492484509968491</v>
      </c>
      <c r="DP357" s="775">
        <f t="shared" si="507"/>
        <v>2.7612758991298407</v>
      </c>
      <c r="DQ357" s="775">
        <f t="shared" si="508"/>
        <v>23.294243912353668</v>
      </c>
      <c r="DR357" s="775">
        <f t="shared" si="509"/>
        <v>49.481948350898932</v>
      </c>
      <c r="DS357" s="775">
        <f t="shared" si="510"/>
        <v>18.893387466226152</v>
      </c>
      <c r="DT357" s="775">
        <f t="shared" si="511"/>
        <v>30.76259733677032</v>
      </c>
      <c r="DU357" s="775">
        <f t="shared" si="512"/>
        <v>2179.0441275358671</v>
      </c>
      <c r="DV357" s="775">
        <f t="shared" si="513"/>
        <v>314.8269839612496</v>
      </c>
      <c r="DW357" s="775">
        <f t="shared" si="514"/>
        <v>0.73143117198013963</v>
      </c>
      <c r="DX357" s="775">
        <f t="shared" si="515"/>
        <v>0.33246871453642707</v>
      </c>
      <c r="DY357" s="775">
        <f t="shared" si="516"/>
        <v>24.867960947071285</v>
      </c>
      <c r="DZ357" s="775">
        <f t="shared" si="517"/>
        <v>30.610889069270826</v>
      </c>
      <c r="EA357" s="775"/>
      <c r="EB357" s="775"/>
      <c r="EC357" s="775"/>
      <c r="ED357" s="775"/>
      <c r="EE357" s="775"/>
      <c r="EF357" s="775" t="b">
        <f t="shared" si="558"/>
        <v>0</v>
      </c>
      <c r="EG357" s="775">
        <f t="shared" si="518"/>
        <v>42.81114750334411</v>
      </c>
      <c r="EH357" s="775">
        <v>97</v>
      </c>
      <c r="EI357" s="775">
        <f t="shared" si="563"/>
        <v>48.5</v>
      </c>
      <c r="EJ357" s="673">
        <f t="shared" si="519"/>
        <v>5.6888524966558913</v>
      </c>
      <c r="EK357" s="673">
        <f t="shared" si="520"/>
        <v>2.2510196371999172</v>
      </c>
      <c r="EL357" s="775" t="b">
        <f t="shared" si="521"/>
        <v>0</v>
      </c>
      <c r="EM357" s="673"/>
      <c r="EN357" s="775">
        <f t="shared" si="522"/>
        <v>5.6888524966558913</v>
      </c>
      <c r="EO357" s="775">
        <f t="shared" si="523"/>
        <v>2.6785539218425431E-2</v>
      </c>
      <c r="EP357" s="775">
        <f t="shared" si="524"/>
        <v>1.791522687835598E-3</v>
      </c>
      <c r="EQ357" s="775">
        <f t="shared" si="525"/>
        <v>5.344127215348303</v>
      </c>
      <c r="ER357" s="775">
        <f t="shared" si="526"/>
        <v>2.622545276768268</v>
      </c>
      <c r="ES357" s="775">
        <f t="shared" si="527"/>
        <v>4.9437317459762466</v>
      </c>
      <c r="ET357" s="775">
        <f t="shared" si="528"/>
        <v>9.7213016084915154</v>
      </c>
      <c r="EU357" s="775">
        <f t="shared" si="529"/>
        <v>2.5820617441084881</v>
      </c>
      <c r="EV357" s="775">
        <f t="shared" si="530"/>
        <v>3.6698478008126512</v>
      </c>
      <c r="EW357" s="775">
        <f t="shared" si="531"/>
        <v>33.481924023031787</v>
      </c>
      <c r="EX357" s="775">
        <f t="shared" si="532"/>
        <v>5.4276384202375656</v>
      </c>
      <c r="EY357" s="775">
        <f t="shared" si="559"/>
        <v>42.381076996169277</v>
      </c>
      <c r="EZ357" s="775">
        <f t="shared" si="533"/>
        <v>19.264125907349669</v>
      </c>
      <c r="FA357" s="775">
        <f t="shared" si="534"/>
        <v>5.6888524966558913</v>
      </c>
      <c r="FB357" s="775">
        <f t="shared" si="535"/>
        <v>3.9874266599691746</v>
      </c>
      <c r="FC357" s="775"/>
      <c r="FD357" s="775"/>
      <c r="FE357" s="775"/>
      <c r="FF357" s="775"/>
      <c r="FG357" s="775"/>
      <c r="FH357" s="775"/>
      <c r="FI357" s="775"/>
      <c r="FJ357" s="775"/>
      <c r="FK357" s="775" t="b">
        <f t="shared" si="560"/>
        <v>0</v>
      </c>
      <c r="FL357" s="775">
        <f t="shared" si="536"/>
        <v>29.110889069270826</v>
      </c>
      <c r="FM357" s="775">
        <v>97</v>
      </c>
      <c r="FN357" s="775">
        <f t="shared" si="561"/>
        <v>1.5</v>
      </c>
      <c r="FO357" s="673">
        <f t="shared" si="480"/>
        <v>30.610889069270826</v>
      </c>
      <c r="FP357" s="673">
        <f t="shared" si="537"/>
        <v>31.576723317281619</v>
      </c>
      <c r="FQ357" s="775" t="b">
        <f t="shared" si="538"/>
        <v>1</v>
      </c>
      <c r="FR357" s="673"/>
      <c r="FS357" s="775">
        <f t="shared" si="539"/>
        <v>30.610889069270826</v>
      </c>
      <c r="FT357" s="775">
        <f t="shared" si="540"/>
        <v>1.5520257318631532</v>
      </c>
      <c r="FU357" s="775">
        <f t="shared" si="541"/>
        <v>7.6226543195457727E-2</v>
      </c>
      <c r="FV357" s="775">
        <f t="shared" si="542"/>
        <v>3.9492484509968491</v>
      </c>
      <c r="FW357" s="775">
        <f t="shared" si="543"/>
        <v>2.7612758991298407</v>
      </c>
      <c r="FX357" s="775">
        <f t="shared" si="544"/>
        <v>28.290611342525519</v>
      </c>
      <c r="FY357" s="775">
        <f t="shared" si="545"/>
        <v>60.095299702936735</v>
      </c>
      <c r="FZ357" s="775">
        <f t="shared" si="546"/>
        <v>18.893387466226152</v>
      </c>
      <c r="GA357" s="775">
        <f t="shared" si="547"/>
        <v>30.76259733677032</v>
      </c>
      <c r="GB357" s="775">
        <f t="shared" si="548"/>
        <v>2179.0441275358671</v>
      </c>
      <c r="GC357" s="775">
        <f t="shared" si="549"/>
        <v>314.8269839612496</v>
      </c>
      <c r="GD357" s="775">
        <f t="shared" si="550"/>
        <v>1.2974129180196996</v>
      </c>
      <c r="GE357" s="775">
        <f t="shared" si="551"/>
        <v>0.58973314455440884</v>
      </c>
      <c r="GF357" s="775">
        <f t="shared" si="552"/>
        <v>28.809738850449403</v>
      </c>
      <c r="GG357" s="775">
        <f t="shared" si="553"/>
        <v>30.610889069270826</v>
      </c>
    </row>
    <row r="358" spans="70:189">
      <c r="BR358" s="775"/>
      <c r="BS358" s="775"/>
      <c r="BT358" s="775"/>
      <c r="BU358" s="775"/>
      <c r="BV358" s="775"/>
      <c r="BW358" s="775"/>
      <c r="BX358" s="775"/>
      <c r="BY358" s="775" t="b">
        <f t="shared" si="554"/>
        <v>0</v>
      </c>
      <c r="BZ358" s="775">
        <f t="shared" si="481"/>
        <v>43.294831684181077</v>
      </c>
      <c r="CA358" s="775">
        <v>98</v>
      </c>
      <c r="CB358" s="775">
        <f t="shared" si="562"/>
        <v>49</v>
      </c>
      <c r="CC358" s="673">
        <f t="shared" si="482"/>
        <v>5.7051683158189199</v>
      </c>
      <c r="CD358" s="91">
        <f t="shared" si="483"/>
        <v>2</v>
      </c>
      <c r="CE358" s="775" t="b">
        <f t="shared" si="484"/>
        <v>0</v>
      </c>
      <c r="CF358" s="673"/>
      <c r="CG358" s="775">
        <f t="shared" si="485"/>
        <v>5.7051683158189199</v>
      </c>
      <c r="CH358" s="775">
        <f t="shared" si="486"/>
        <v>2.6517656398740676E-2</v>
      </c>
      <c r="CI358" s="775">
        <f t="shared" si="487"/>
        <v>1.7736056264976473E-3</v>
      </c>
      <c r="CJ358" s="775">
        <f t="shared" si="488"/>
        <v>5.346588130612119</v>
      </c>
      <c r="CK358" s="775">
        <f t="shared" si="489"/>
        <v>2.6231256513784098</v>
      </c>
      <c r="CL358" s="775">
        <f t="shared" si="490"/>
        <v>4.9561701867951697</v>
      </c>
      <c r="CM358" s="775">
        <f t="shared" si="491"/>
        <v>9.7457604264357833</v>
      </c>
      <c r="CN358" s="775">
        <f t="shared" si="492"/>
        <v>2.5854833219756821</v>
      </c>
      <c r="CO358" s="775">
        <f t="shared" si="493"/>
        <v>3.6745917906849259</v>
      </c>
      <c r="CP358" s="775">
        <f t="shared" si="494"/>
        <v>33.147070498425848</v>
      </c>
      <c r="CQ358" s="775">
        <f t="shared" si="495"/>
        <v>5.3733564783141272</v>
      </c>
      <c r="CR358" s="775">
        <f t="shared" si="555"/>
        <v>42.809212960988162</v>
      </c>
      <c r="CS358" s="775">
        <f t="shared" si="496"/>
        <v>19.458733164085526</v>
      </c>
      <c r="CT358" s="775">
        <f t="shared" si="497"/>
        <v>5.7051683158189199</v>
      </c>
      <c r="CU358" s="775">
        <f t="shared" si="498"/>
        <v>3.993876706040278</v>
      </c>
      <c r="CV358" s="775"/>
      <c r="CW358" s="775"/>
      <c r="CX358" s="775"/>
      <c r="CY358" s="775"/>
      <c r="CZ358" s="775"/>
      <c r="DA358" s="775"/>
      <c r="DB358" s="775"/>
      <c r="DC358" s="775"/>
      <c r="DD358" s="775" t="b">
        <f t="shared" si="556"/>
        <v>0</v>
      </c>
      <c r="DE358" s="775">
        <f t="shared" si="499"/>
        <v>21.788434317281197</v>
      </c>
      <c r="DF358" s="775">
        <v>98</v>
      </c>
      <c r="DG358" s="775">
        <f t="shared" si="557"/>
        <v>1</v>
      </c>
      <c r="DH358" s="673">
        <f t="shared" si="500"/>
        <v>22.788434317281197</v>
      </c>
      <c r="DI358" s="673">
        <f t="shared" si="501"/>
        <v>26</v>
      </c>
      <c r="DJ358" s="775" t="b">
        <f t="shared" si="502"/>
        <v>1</v>
      </c>
      <c r="DK358" s="673"/>
      <c r="DL358" s="775">
        <f t="shared" si="503"/>
        <v>22.788434317281197</v>
      </c>
      <c r="DM358" s="775">
        <f t="shared" si="504"/>
        <v>2.411626880597705</v>
      </c>
      <c r="DN358" s="775">
        <f t="shared" si="505"/>
        <v>0.11844518864034966</v>
      </c>
      <c r="DO358" s="775">
        <f t="shared" si="506"/>
        <v>3.1616441933636956</v>
      </c>
      <c r="DP358" s="775">
        <f t="shared" si="507"/>
        <v>2.3614073829605084</v>
      </c>
      <c r="DQ358" s="775">
        <f t="shared" si="508"/>
        <v>20.863915684380927</v>
      </c>
      <c r="DR358" s="775">
        <f t="shared" si="509"/>
        <v>44.31941221945133</v>
      </c>
      <c r="DS358" s="775">
        <f t="shared" si="510"/>
        <v>17.501956758943823</v>
      </c>
      <c r="DT358" s="775">
        <f t="shared" si="511"/>
        <v>28.746589885224946</v>
      </c>
      <c r="DU358" s="775">
        <f t="shared" si="512"/>
        <v>3385.9241403591777</v>
      </c>
      <c r="DV358" s="775">
        <f t="shared" si="513"/>
        <v>489.19628178265083</v>
      </c>
      <c r="DW358" s="775">
        <f t="shared" si="514"/>
        <v>0.47071958317144341</v>
      </c>
      <c r="DX358" s="775">
        <f t="shared" si="515"/>
        <v>0.21396344689611063</v>
      </c>
      <c r="DY358" s="775">
        <f t="shared" si="516"/>
        <v>22.788434317281197</v>
      </c>
      <c r="DZ358" s="775">
        <f t="shared" si="517"/>
        <v>29.148975796851968</v>
      </c>
      <c r="EA358" s="775"/>
      <c r="EB358" s="775"/>
      <c r="EC358" s="775"/>
      <c r="ED358" s="775"/>
      <c r="EE358" s="775"/>
      <c r="EF358" s="775" t="b">
        <f t="shared" si="558"/>
        <v>0</v>
      </c>
      <c r="EG358" s="775">
        <f t="shared" si="518"/>
        <v>43.294831684181077</v>
      </c>
      <c r="EH358" s="775">
        <v>98</v>
      </c>
      <c r="EI358" s="775">
        <f t="shared" si="563"/>
        <v>49</v>
      </c>
      <c r="EJ358" s="673">
        <f t="shared" si="519"/>
        <v>5.7051683158189199</v>
      </c>
      <c r="EK358" s="673">
        <f t="shared" si="520"/>
        <v>2.2510196371999172</v>
      </c>
      <c r="EL358" s="775" t="b">
        <f t="shared" si="521"/>
        <v>0</v>
      </c>
      <c r="EM358" s="673"/>
      <c r="EN358" s="775">
        <f t="shared" si="522"/>
        <v>5.7051683158189199</v>
      </c>
      <c r="EO358" s="775">
        <f t="shared" si="523"/>
        <v>2.6517656398740676E-2</v>
      </c>
      <c r="EP358" s="775">
        <f t="shared" si="524"/>
        <v>1.7736056264976473E-3</v>
      </c>
      <c r="EQ358" s="775">
        <f t="shared" si="525"/>
        <v>5.346588130612119</v>
      </c>
      <c r="ER358" s="775">
        <f t="shared" si="526"/>
        <v>2.6231256513784098</v>
      </c>
      <c r="ES358" s="775">
        <f t="shared" si="527"/>
        <v>4.9561701867951697</v>
      </c>
      <c r="ET358" s="775">
        <f t="shared" si="528"/>
        <v>9.7457604264357833</v>
      </c>
      <c r="EU358" s="775">
        <f t="shared" si="529"/>
        <v>2.5854833219756821</v>
      </c>
      <c r="EV358" s="775">
        <f t="shared" si="530"/>
        <v>3.6745917906849259</v>
      </c>
      <c r="EW358" s="775">
        <f t="shared" si="531"/>
        <v>33.147070498425848</v>
      </c>
      <c r="EX358" s="775">
        <f t="shared" si="532"/>
        <v>5.3733564783141272</v>
      </c>
      <c r="EY358" s="775">
        <f t="shared" si="559"/>
        <v>42.809212960988162</v>
      </c>
      <c r="EZ358" s="775">
        <f t="shared" si="533"/>
        <v>19.458733164085526</v>
      </c>
      <c r="FA358" s="775">
        <f t="shared" si="534"/>
        <v>5.7051683158189199</v>
      </c>
      <c r="FB358" s="775">
        <f t="shared" si="535"/>
        <v>3.993876706040278</v>
      </c>
      <c r="FC358" s="775"/>
      <c r="FD358" s="775"/>
      <c r="FE358" s="775"/>
      <c r="FF358" s="775"/>
      <c r="FG358" s="775"/>
      <c r="FH358" s="775"/>
      <c r="FI358" s="775"/>
      <c r="FJ358" s="775"/>
      <c r="FK358" s="775" t="b">
        <f t="shared" si="560"/>
        <v>0</v>
      </c>
      <c r="FL358" s="775">
        <f t="shared" si="536"/>
        <v>28.148975796851968</v>
      </c>
      <c r="FM358" s="775">
        <v>98</v>
      </c>
      <c r="FN358" s="775">
        <f t="shared" si="561"/>
        <v>1</v>
      </c>
      <c r="FO358" s="673">
        <f t="shared" si="480"/>
        <v>29.148975796851968</v>
      </c>
      <c r="FP358" s="673">
        <f t="shared" si="537"/>
        <v>31.576723317281619</v>
      </c>
      <c r="FQ358" s="775" t="b">
        <f t="shared" si="538"/>
        <v>1</v>
      </c>
      <c r="FR358" s="673"/>
      <c r="FS358" s="775">
        <f t="shared" si="539"/>
        <v>29.148975796851968</v>
      </c>
      <c r="FT358" s="775">
        <f t="shared" si="540"/>
        <v>2.411626880597705</v>
      </c>
      <c r="FU358" s="775">
        <f t="shared" si="541"/>
        <v>0.11844518864034966</v>
      </c>
      <c r="FV358" s="775">
        <f t="shared" si="542"/>
        <v>3.1616441933636956</v>
      </c>
      <c r="FW358" s="775">
        <f t="shared" si="543"/>
        <v>2.3614073829605084</v>
      </c>
      <c r="FX358" s="775">
        <f t="shared" si="544"/>
        <v>25.339003572338033</v>
      </c>
      <c r="FY358" s="775">
        <f t="shared" si="545"/>
        <v>53.825454509160181</v>
      </c>
      <c r="FZ358" s="775">
        <f t="shared" si="546"/>
        <v>17.501956758943823</v>
      </c>
      <c r="GA358" s="775">
        <f t="shared" si="547"/>
        <v>28.746589885224946</v>
      </c>
      <c r="GB358" s="775">
        <f t="shared" si="548"/>
        <v>3385.9241403591777</v>
      </c>
      <c r="GC358" s="775">
        <f t="shared" si="549"/>
        <v>489.19628178265083</v>
      </c>
      <c r="GD358" s="775">
        <f t="shared" si="550"/>
        <v>0.8349625930190212</v>
      </c>
      <c r="GE358" s="775">
        <f t="shared" si="551"/>
        <v>0.37952845137228236</v>
      </c>
      <c r="GF358" s="775">
        <f t="shared" si="552"/>
        <v>26.532727647911372</v>
      </c>
      <c r="GG358" s="775">
        <f t="shared" si="553"/>
        <v>29.148975796851968</v>
      </c>
    </row>
    <row r="359" spans="70:189">
      <c r="BR359" s="775"/>
      <c r="BS359" s="775"/>
      <c r="BT359" s="775"/>
      <c r="BU359" s="775"/>
      <c r="BV359" s="775"/>
      <c r="BW359" s="775"/>
      <c r="BX359" s="775"/>
      <c r="BY359" s="775" t="b">
        <f t="shared" si="554"/>
        <v>0</v>
      </c>
      <c r="BZ359" s="775">
        <f t="shared" si="481"/>
        <v>43.778646662938634</v>
      </c>
      <c r="CA359" s="775">
        <v>99</v>
      </c>
      <c r="CB359" s="775">
        <f t="shared" si="562"/>
        <v>49.5</v>
      </c>
      <c r="CC359" s="673">
        <f t="shared" si="482"/>
        <v>5.7213533370613634</v>
      </c>
      <c r="CD359" s="91">
        <f t="shared" si="483"/>
        <v>2</v>
      </c>
      <c r="CE359" s="775" t="b">
        <f t="shared" si="484"/>
        <v>0</v>
      </c>
      <c r="CF359" s="673"/>
      <c r="CG359" s="775">
        <f t="shared" si="485"/>
        <v>5.7213533370613634</v>
      </c>
      <c r="CH359" s="775">
        <f t="shared" si="486"/>
        <v>2.6255131779425067E-2</v>
      </c>
      <c r="CI359" s="775">
        <f t="shared" si="487"/>
        <v>1.7560469427696829E-3</v>
      </c>
      <c r="CJ359" s="775">
        <f t="shared" si="488"/>
        <v>5.3490026832206476</v>
      </c>
      <c r="CK359" s="775">
        <f t="shared" si="489"/>
        <v>2.6236947913113138</v>
      </c>
      <c r="CL359" s="775">
        <f t="shared" si="490"/>
        <v>4.9685131667598608</v>
      </c>
      <c r="CM359" s="775">
        <f t="shared" si="491"/>
        <v>9.7700315311699715</v>
      </c>
      <c r="CN359" s="775">
        <f t="shared" si="492"/>
        <v>2.5888742169472954</v>
      </c>
      <c r="CO359" s="775">
        <f t="shared" si="493"/>
        <v>3.6792933436206319</v>
      </c>
      <c r="CP359" s="775">
        <f t="shared" si="494"/>
        <v>32.818914724281335</v>
      </c>
      <c r="CQ359" s="775">
        <f t="shared" si="495"/>
        <v>5.3201602854566215</v>
      </c>
      <c r="CR359" s="775">
        <f t="shared" si="555"/>
        <v>43.237261558504301</v>
      </c>
      <c r="CS359" s="775">
        <f t="shared" si="496"/>
        <v>19.653300708411045</v>
      </c>
      <c r="CT359" s="775">
        <f t="shared" si="497"/>
        <v>5.7213533370613634</v>
      </c>
      <c r="CU359" s="775">
        <f t="shared" si="498"/>
        <v>4.0002681988348616</v>
      </c>
      <c r="CV359" s="775"/>
      <c r="CW359" s="775"/>
      <c r="CX359" s="775"/>
      <c r="CY359" s="775"/>
      <c r="CZ359" s="775"/>
      <c r="DA359" s="775"/>
      <c r="DB359" s="775"/>
      <c r="DC359" s="775"/>
      <c r="DD359" s="775" t="b">
        <f t="shared" si="556"/>
        <v>0</v>
      </c>
      <c r="DE359" s="775">
        <f t="shared" si="499"/>
        <v>19.004643836165034</v>
      </c>
      <c r="DF359" s="775">
        <v>99</v>
      </c>
      <c r="DG359" s="775">
        <f t="shared" si="557"/>
        <v>0.5</v>
      </c>
      <c r="DH359" s="673">
        <f t="shared" si="500"/>
        <v>19.504643836165034</v>
      </c>
      <c r="DI359" s="673">
        <f t="shared" si="501"/>
        <v>26</v>
      </c>
      <c r="DJ359" s="775" t="b">
        <f t="shared" si="502"/>
        <v>1</v>
      </c>
      <c r="DK359" s="673"/>
      <c r="DL359" s="775">
        <f t="shared" si="503"/>
        <v>19.504643836165034</v>
      </c>
      <c r="DM359" s="775">
        <f t="shared" si="504"/>
        <v>5.1230632912520608</v>
      </c>
      <c r="DN359" s="775">
        <f t="shared" si="505"/>
        <v>0.25161529042104941</v>
      </c>
      <c r="DO359" s="775">
        <f t="shared" si="506"/>
        <v>2.0864090128081489</v>
      </c>
      <c r="DP359" s="775">
        <f t="shared" si="507"/>
        <v>1.7373541760543059</v>
      </c>
      <c r="DQ359" s="775">
        <f t="shared" si="508"/>
        <v>17.28187731203753</v>
      </c>
      <c r="DR359" s="775">
        <f t="shared" si="509"/>
        <v>36.710397803781262</v>
      </c>
      <c r="DS359" s="775">
        <f t="shared" si="510"/>
        <v>15.304448229109019</v>
      </c>
      <c r="DT359" s="775">
        <f t="shared" si="511"/>
        <v>25.534950612389519</v>
      </c>
      <c r="DU359" s="775">
        <f t="shared" si="512"/>
        <v>7192.7808609178937</v>
      </c>
      <c r="DV359" s="775">
        <f t="shared" si="513"/>
        <v>1039.2086493896427</v>
      </c>
      <c r="DW359" s="775">
        <f t="shared" si="514"/>
        <v>0.22158617519686363</v>
      </c>
      <c r="DX359" s="775">
        <f t="shared" si="515"/>
        <v>0.1007209887258471</v>
      </c>
      <c r="DY359" s="775">
        <f t="shared" si="516"/>
        <v>19.504643836165034</v>
      </c>
      <c r="DZ359" s="775">
        <f t="shared" si="517"/>
        <v>26.68839494032628</v>
      </c>
      <c r="EA359" s="775"/>
      <c r="EB359" s="775"/>
      <c r="EC359" s="775"/>
      <c r="ED359" s="775"/>
      <c r="EE359" s="775"/>
      <c r="EF359" s="775" t="b">
        <f t="shared" si="558"/>
        <v>0</v>
      </c>
      <c r="EG359" s="775">
        <f t="shared" si="518"/>
        <v>43.778646662938634</v>
      </c>
      <c r="EH359" s="775">
        <v>99</v>
      </c>
      <c r="EI359" s="775">
        <f t="shared" si="563"/>
        <v>49.5</v>
      </c>
      <c r="EJ359" s="673">
        <f t="shared" si="519"/>
        <v>5.7213533370613634</v>
      </c>
      <c r="EK359" s="673">
        <f t="shared" si="520"/>
        <v>2.2510196371999172</v>
      </c>
      <c r="EL359" s="775" t="b">
        <f t="shared" si="521"/>
        <v>0</v>
      </c>
      <c r="EM359" s="673"/>
      <c r="EN359" s="775">
        <f t="shared" si="522"/>
        <v>5.7213533370613634</v>
      </c>
      <c r="EO359" s="775">
        <f t="shared" si="523"/>
        <v>2.6255131779425067E-2</v>
      </c>
      <c r="EP359" s="775">
        <f t="shared" si="524"/>
        <v>1.7560469427696829E-3</v>
      </c>
      <c r="EQ359" s="775">
        <f t="shared" si="525"/>
        <v>5.3490026832206476</v>
      </c>
      <c r="ER359" s="775">
        <f t="shared" si="526"/>
        <v>2.6236947913113138</v>
      </c>
      <c r="ES359" s="775">
        <f t="shared" si="527"/>
        <v>4.9685131667598608</v>
      </c>
      <c r="ET359" s="775">
        <f t="shared" si="528"/>
        <v>9.7700315311699715</v>
      </c>
      <c r="EU359" s="775">
        <f t="shared" si="529"/>
        <v>2.5888742169472954</v>
      </c>
      <c r="EV359" s="775">
        <f t="shared" si="530"/>
        <v>3.6792933436206319</v>
      </c>
      <c r="EW359" s="775">
        <f t="shared" si="531"/>
        <v>32.818914724281335</v>
      </c>
      <c r="EX359" s="775">
        <f t="shared" si="532"/>
        <v>5.3201602854566215</v>
      </c>
      <c r="EY359" s="775">
        <f t="shared" si="559"/>
        <v>43.237261558504301</v>
      </c>
      <c r="EZ359" s="775">
        <f t="shared" si="533"/>
        <v>19.653300708411045</v>
      </c>
      <c r="FA359" s="775">
        <f t="shared" si="534"/>
        <v>5.7213533370613634</v>
      </c>
      <c r="FB359" s="775">
        <f t="shared" si="535"/>
        <v>4.0002681988348616</v>
      </c>
      <c r="FC359" s="775"/>
      <c r="FD359" s="775"/>
      <c r="FE359" s="775"/>
      <c r="FF359" s="775"/>
      <c r="FG359" s="775"/>
      <c r="FH359" s="775"/>
      <c r="FI359" s="775"/>
      <c r="FJ359" s="775"/>
      <c r="FK359" s="775" t="b">
        <f t="shared" si="560"/>
        <v>0</v>
      </c>
      <c r="FL359" s="775">
        <f t="shared" si="536"/>
        <v>26.18839494032628</v>
      </c>
      <c r="FM359" s="775">
        <v>99</v>
      </c>
      <c r="FN359" s="775">
        <f t="shared" si="561"/>
        <v>0.5</v>
      </c>
      <c r="FO359" s="673">
        <f t="shared" si="480"/>
        <v>26.68839494032628</v>
      </c>
      <c r="FP359" s="673">
        <f t="shared" si="537"/>
        <v>31.576723317281619</v>
      </c>
      <c r="FQ359" s="775" t="b">
        <f t="shared" si="538"/>
        <v>1</v>
      </c>
      <c r="FR359" s="673"/>
      <c r="FS359" s="775">
        <f t="shared" si="539"/>
        <v>26.68839494032628</v>
      </c>
      <c r="FT359" s="775">
        <f t="shared" si="540"/>
        <v>5.1230632912520608</v>
      </c>
      <c r="FU359" s="775">
        <f t="shared" si="541"/>
        <v>0.25161529042104941</v>
      </c>
      <c r="FV359" s="775">
        <f t="shared" si="542"/>
        <v>2.0864090128081489</v>
      </c>
      <c r="FW359" s="775">
        <f t="shared" si="543"/>
        <v>1.7373541760543059</v>
      </c>
      <c r="FX359" s="775">
        <f t="shared" si="544"/>
        <v>20.988656087900601</v>
      </c>
      <c r="FY359" s="775">
        <f t="shared" si="545"/>
        <v>44.584387473743988</v>
      </c>
      <c r="FZ359" s="775">
        <f t="shared" si="546"/>
        <v>15.304448229109019</v>
      </c>
      <c r="GA359" s="775">
        <f t="shared" si="547"/>
        <v>25.534950612389519</v>
      </c>
      <c r="GB359" s="775">
        <f t="shared" si="548"/>
        <v>7192.7808609178937</v>
      </c>
      <c r="GC359" s="775">
        <f t="shared" si="549"/>
        <v>1039.2086493896427</v>
      </c>
      <c r="GD359" s="775">
        <f t="shared" si="550"/>
        <v>0.39304965001244624</v>
      </c>
      <c r="GE359" s="775">
        <f t="shared" si="551"/>
        <v>0.17865893182383918</v>
      </c>
      <c r="GF359" s="775">
        <f t="shared" si="552"/>
        <v>22.897967913925623</v>
      </c>
      <c r="GG359" s="775">
        <f t="shared" si="553"/>
        <v>26.68839494032628</v>
      </c>
    </row>
    <row r="360" spans="70:189">
      <c r="BR360" s="775"/>
      <c r="BS360" s="775"/>
      <c r="BT360" s="775"/>
      <c r="BU360" s="775"/>
      <c r="BV360" s="775"/>
      <c r="BW360" s="775"/>
      <c r="BX360" s="775"/>
      <c r="BY360" s="775" t="b">
        <f t="shared" si="554"/>
        <v>0</v>
      </c>
      <c r="BZ360" s="775">
        <f t="shared" si="481"/>
        <v>44.262590098312003</v>
      </c>
      <c r="CA360" s="775">
        <v>100</v>
      </c>
      <c r="CB360" s="775">
        <f t="shared" si="562"/>
        <v>50</v>
      </c>
      <c r="CC360" s="673">
        <f t="shared" si="482"/>
        <v>5.7374099016879976</v>
      </c>
      <c r="CD360" s="91">
        <f t="shared" si="483"/>
        <v>2</v>
      </c>
      <c r="CE360" s="775" t="b">
        <f t="shared" si="484"/>
        <v>0</v>
      </c>
      <c r="CF360" s="673"/>
      <c r="CG360" s="775">
        <f t="shared" si="485"/>
        <v>5.7374099016879976</v>
      </c>
      <c r="CH360" s="775">
        <f t="shared" si="486"/>
        <v>2.5997805670030988E-2</v>
      </c>
      <c r="CI360" s="775">
        <f t="shared" si="487"/>
        <v>1.7388359559236597E-3</v>
      </c>
      <c r="CJ360" s="775">
        <f t="shared" si="488"/>
        <v>5.3513721762922799</v>
      </c>
      <c r="CK360" s="775">
        <f t="shared" si="489"/>
        <v>2.6242530208223878</v>
      </c>
      <c r="CL360" s="775">
        <f t="shared" si="490"/>
        <v>4.9807623717518501</v>
      </c>
      <c r="CM360" s="775">
        <f t="shared" si="491"/>
        <v>9.794118237793624</v>
      </c>
      <c r="CN360" s="775">
        <f t="shared" si="492"/>
        <v>2.5922350102850396</v>
      </c>
      <c r="CO360" s="775">
        <f t="shared" si="493"/>
        <v>3.6839532624987661</v>
      </c>
      <c r="CP360" s="775">
        <f t="shared" si="494"/>
        <v>32.497257087538735</v>
      </c>
      <c r="CQ360" s="775">
        <f t="shared" si="495"/>
        <v>5.2680174830852282</v>
      </c>
      <c r="CR360" s="775">
        <f t="shared" si="555"/>
        <v>43.66522368880554</v>
      </c>
      <c r="CS360" s="775">
        <f t="shared" si="496"/>
        <v>19.84782894945706</v>
      </c>
      <c r="CT360" s="775">
        <f t="shared" si="497"/>
        <v>5.7374099016879976</v>
      </c>
      <c r="CU360" s="775">
        <f t="shared" si="498"/>
        <v>4.0066022528192775</v>
      </c>
      <c r="CV360" s="775"/>
      <c r="CW360" s="775"/>
      <c r="CX360" s="775"/>
      <c r="CY360" s="775"/>
      <c r="CZ360" s="775"/>
      <c r="DA360" s="775"/>
      <c r="DB360" s="775"/>
      <c r="DC360" s="775"/>
      <c r="DD360" s="775" t="e">
        <f t="shared" si="556"/>
        <v>#DIV/0!</v>
      </c>
      <c r="DE360" s="775" t="e">
        <f t="shared" si="499"/>
        <v>#DIV/0!</v>
      </c>
      <c r="DF360" s="775">
        <v>100</v>
      </c>
      <c r="DG360" s="775">
        <f t="shared" si="557"/>
        <v>0</v>
      </c>
      <c r="DH360" s="673" t="e">
        <f t="shared" si="500"/>
        <v>#DIV/0!</v>
      </c>
      <c r="DI360" s="673">
        <f t="shared" si="501"/>
        <v>26</v>
      </c>
      <c r="DJ360" s="775" t="b">
        <f t="shared" si="502"/>
        <v>1</v>
      </c>
      <c r="DK360" s="673"/>
      <c r="DL360" s="775" t="e">
        <f t="shared" si="503"/>
        <v>#DIV/0!</v>
      </c>
      <c r="DM360" s="775" t="e">
        <f t="shared" si="504"/>
        <v>#DIV/0!</v>
      </c>
      <c r="DN360" s="775" t="e">
        <f t="shared" si="505"/>
        <v>#DIV/0!</v>
      </c>
      <c r="DO360" s="775" t="e">
        <f t="shared" si="506"/>
        <v>#DIV/0!</v>
      </c>
      <c r="DP360" s="775" t="e">
        <f t="shared" si="507"/>
        <v>#DIV/0!</v>
      </c>
      <c r="DQ360" s="775" t="e">
        <f t="shared" si="508"/>
        <v>#DIV/0!</v>
      </c>
      <c r="DR360" s="775" t="e">
        <f t="shared" si="509"/>
        <v>#DIV/0!</v>
      </c>
      <c r="DS360" s="775" t="e">
        <f t="shared" si="510"/>
        <v>#DIV/0!</v>
      </c>
      <c r="DT360" s="775" t="e">
        <f t="shared" si="511"/>
        <v>#DIV/0!</v>
      </c>
      <c r="DU360" s="775" t="e">
        <f t="shared" si="512"/>
        <v>#DIV/0!</v>
      </c>
      <c r="DV360" s="775" t="e">
        <f t="shared" si="513"/>
        <v>#DIV/0!</v>
      </c>
      <c r="DW360" s="775" t="e">
        <f t="shared" si="514"/>
        <v>#DIV/0!</v>
      </c>
      <c r="DX360" s="775" t="e">
        <f t="shared" si="515"/>
        <v>#DIV/0!</v>
      </c>
      <c r="DY360" s="775" t="e">
        <f t="shared" si="516"/>
        <v>#DIV/0!</v>
      </c>
      <c r="DZ360" s="775" t="e">
        <f t="shared" si="517"/>
        <v>#DIV/0!</v>
      </c>
      <c r="EA360" s="775"/>
      <c r="EB360" s="775"/>
      <c r="EC360" s="775"/>
      <c r="ED360" s="775"/>
      <c r="EE360" s="775"/>
      <c r="EF360" s="775" t="b">
        <f t="shared" si="558"/>
        <v>0</v>
      </c>
      <c r="EG360" s="775">
        <f t="shared" si="518"/>
        <v>44.262590098312003</v>
      </c>
      <c r="EH360" s="775">
        <v>100</v>
      </c>
      <c r="EI360" s="775">
        <f t="shared" si="563"/>
        <v>50</v>
      </c>
      <c r="EJ360" s="673">
        <f t="shared" si="519"/>
        <v>5.7374099016879976</v>
      </c>
      <c r="EK360" s="673">
        <f t="shared" si="520"/>
        <v>2.2510196371999172</v>
      </c>
      <c r="EL360" s="775" t="b">
        <f t="shared" si="521"/>
        <v>0</v>
      </c>
      <c r="EM360" s="673"/>
      <c r="EN360" s="775">
        <f t="shared" si="522"/>
        <v>5.7374099016879976</v>
      </c>
      <c r="EO360" s="775">
        <f t="shared" si="523"/>
        <v>2.5997805670030988E-2</v>
      </c>
      <c r="EP360" s="775">
        <f t="shared" si="524"/>
        <v>1.7388359559236597E-3</v>
      </c>
      <c r="EQ360" s="775">
        <f t="shared" si="525"/>
        <v>5.3513721762922799</v>
      </c>
      <c r="ER360" s="775">
        <f t="shared" si="526"/>
        <v>2.6242530208223878</v>
      </c>
      <c r="ES360" s="775">
        <f t="shared" si="527"/>
        <v>4.9807623717518501</v>
      </c>
      <c r="ET360" s="775">
        <f t="shared" si="528"/>
        <v>9.794118237793624</v>
      </c>
      <c r="EU360" s="775">
        <f t="shared" si="529"/>
        <v>2.5922350102850396</v>
      </c>
      <c r="EV360" s="775">
        <f t="shared" si="530"/>
        <v>3.6839532624987661</v>
      </c>
      <c r="EW360" s="775">
        <f t="shared" si="531"/>
        <v>32.497257087538735</v>
      </c>
      <c r="EX360" s="775">
        <f t="shared" si="532"/>
        <v>5.2680174830852282</v>
      </c>
      <c r="EY360" s="775">
        <f t="shared" si="559"/>
        <v>43.66522368880554</v>
      </c>
      <c r="EZ360" s="775">
        <f t="shared" si="533"/>
        <v>19.84782894945706</v>
      </c>
      <c r="FA360" s="775">
        <f t="shared" si="534"/>
        <v>5.7374099016879976</v>
      </c>
      <c r="FB360" s="775">
        <f t="shared" si="535"/>
        <v>4.0066022528192775</v>
      </c>
      <c r="FC360" s="775"/>
      <c r="FD360" s="775"/>
      <c r="FE360" s="775"/>
      <c r="FF360" s="775"/>
      <c r="FG360" s="775"/>
      <c r="FH360" s="775"/>
      <c r="FI360" s="775"/>
      <c r="FJ360" s="775"/>
      <c r="FK360" s="775" t="e">
        <f t="shared" si="560"/>
        <v>#DIV/0!</v>
      </c>
      <c r="FL360" s="775" t="e">
        <f t="shared" si="536"/>
        <v>#DIV/0!</v>
      </c>
      <c r="FM360" s="775">
        <v>100</v>
      </c>
      <c r="FN360" s="775">
        <f t="shared" si="561"/>
        <v>0</v>
      </c>
      <c r="FO360" s="673" t="e">
        <f t="shared" si="480"/>
        <v>#DIV/0!</v>
      </c>
      <c r="FP360" s="673">
        <f t="shared" si="537"/>
        <v>31.576723317281619</v>
      </c>
      <c r="FQ360" s="775" t="b">
        <f t="shared" si="538"/>
        <v>1</v>
      </c>
      <c r="FR360" s="673"/>
      <c r="FS360" s="775" t="e">
        <f t="shared" si="539"/>
        <v>#DIV/0!</v>
      </c>
      <c r="FT360" s="775" t="e">
        <f t="shared" si="540"/>
        <v>#DIV/0!</v>
      </c>
      <c r="FU360" s="775" t="e">
        <f t="shared" si="541"/>
        <v>#DIV/0!</v>
      </c>
      <c r="FV360" s="775" t="e">
        <f t="shared" si="542"/>
        <v>#DIV/0!</v>
      </c>
      <c r="FW360" s="775" t="e">
        <f t="shared" si="543"/>
        <v>#DIV/0!</v>
      </c>
      <c r="FX360" s="775" t="e">
        <f t="shared" si="544"/>
        <v>#DIV/0!</v>
      </c>
      <c r="FY360" s="775" t="e">
        <f t="shared" si="545"/>
        <v>#DIV/0!</v>
      </c>
      <c r="FZ360" s="775" t="e">
        <f t="shared" si="546"/>
        <v>#DIV/0!</v>
      </c>
      <c r="GA360" s="775" t="e">
        <f t="shared" si="547"/>
        <v>#DIV/0!</v>
      </c>
      <c r="GB360" s="775" t="e">
        <f t="shared" si="548"/>
        <v>#DIV/0!</v>
      </c>
      <c r="GC360" s="775" t="e">
        <f t="shared" si="549"/>
        <v>#DIV/0!</v>
      </c>
      <c r="GD360" s="775" t="e">
        <f t="shared" si="550"/>
        <v>#DIV/0!</v>
      </c>
      <c r="GE360" s="775" t="e">
        <f t="shared" si="551"/>
        <v>#DIV/0!</v>
      </c>
      <c r="GF360" s="775" t="e">
        <f t="shared" si="552"/>
        <v>#DIV/0!</v>
      </c>
      <c r="GG360" s="775" t="e">
        <f t="shared" si="553"/>
        <v>#DIV/0!</v>
      </c>
    </row>
    <row r="361" spans="70:189">
      <c r="BR361" s="775"/>
      <c r="BS361" s="775"/>
      <c r="BT361" s="775"/>
      <c r="BU361" s="775"/>
      <c r="BV361" s="775"/>
      <c r="BW361" s="775"/>
      <c r="BX361" s="775"/>
      <c r="BY361" s="775"/>
      <c r="BZ361" s="775"/>
      <c r="CA361" s="775"/>
      <c r="CB361" s="775"/>
      <c r="CC361" s="775"/>
      <c r="CD361" s="775"/>
      <c r="CE361" s="775"/>
      <c r="CF361" s="775"/>
      <c r="CG361" s="775"/>
      <c r="CH361" s="775"/>
      <c r="CI361" s="775"/>
      <c r="CJ361" s="775"/>
      <c r="CK361" s="775"/>
      <c r="CL361" s="775"/>
      <c r="CM361" s="775"/>
      <c r="CN361" s="775"/>
      <c r="CO361" s="775"/>
      <c r="CP361" s="775"/>
      <c r="CQ361" s="775"/>
      <c r="CR361" s="775"/>
      <c r="CS361" s="775"/>
      <c r="CT361" s="775"/>
      <c r="CU361" s="775"/>
      <c r="CV361" s="775"/>
      <c r="CW361" s="775"/>
      <c r="CX361" s="775"/>
      <c r="CY361" s="775"/>
      <c r="CZ361" s="775"/>
      <c r="DA361" s="775"/>
      <c r="DB361" s="775"/>
      <c r="DC361" s="775"/>
      <c r="DD361" s="775"/>
      <c r="DE361" s="775"/>
      <c r="DF361" s="775"/>
      <c r="DG361" s="775"/>
      <c r="DH361" s="775"/>
      <c r="DI361" s="775"/>
      <c r="DJ361" s="775"/>
      <c r="DK361" s="775"/>
      <c r="DL361" s="775"/>
      <c r="DM361" s="775"/>
      <c r="DN361" s="775"/>
      <c r="DO361" s="775"/>
      <c r="DP361" s="775"/>
      <c r="DQ361" s="775"/>
      <c r="DR361" s="775"/>
      <c r="DS361" s="775"/>
      <c r="DT361" s="775"/>
      <c r="DU361" s="775"/>
      <c r="DV361" s="775"/>
      <c r="DW361" s="775"/>
      <c r="DX361" s="775"/>
      <c r="DY361" s="775"/>
      <c r="DZ361" s="775"/>
      <c r="EA361" s="775"/>
      <c r="EB361" s="775"/>
      <c r="EC361" s="775"/>
      <c r="ED361" s="775"/>
      <c r="EE361" s="775"/>
      <c r="EF361" s="775"/>
      <c r="EG361" s="775"/>
      <c r="EH361" s="775"/>
      <c r="EI361" s="775"/>
      <c r="EJ361" s="775"/>
      <c r="EK361" s="775"/>
      <c r="EL361" s="775"/>
      <c r="EM361" s="775"/>
      <c r="EN361" s="775"/>
      <c r="EO361" s="775"/>
      <c r="EP361" s="775"/>
      <c r="EQ361" s="775"/>
      <c r="ER361" s="775"/>
      <c r="ES361" s="775"/>
      <c r="ET361" s="775"/>
      <c r="EU361" s="775"/>
      <c r="EV361" s="775"/>
      <c r="EW361" s="775"/>
      <c r="EX361" s="775"/>
      <c r="EY361" s="775"/>
      <c r="EZ361" s="775"/>
      <c r="FA361" s="775"/>
      <c r="FB361" s="775"/>
      <c r="FC361" s="775"/>
      <c r="FD361" s="775"/>
      <c r="FE361" s="775"/>
      <c r="FF361" s="775"/>
      <c r="FG361" s="775"/>
      <c r="FH361" s="775"/>
      <c r="FI361" s="775"/>
      <c r="FJ361" s="775"/>
      <c r="FK361" s="775"/>
      <c r="FL361" s="775"/>
      <c r="FM361" s="775"/>
      <c r="FN361" s="775"/>
      <c r="FO361" s="775"/>
      <c r="FP361" s="775"/>
      <c r="FQ361" s="775"/>
      <c r="FR361" s="775"/>
      <c r="FS361" s="775"/>
      <c r="FT361" s="775"/>
      <c r="FU361" s="775"/>
      <c r="FV361" s="775"/>
      <c r="FW361" s="775"/>
      <c r="FX361" s="775"/>
      <c r="FY361" s="775"/>
      <c r="FZ361" s="775"/>
      <c r="GA361" s="775"/>
      <c r="GB361" s="775"/>
      <c r="GC361" s="775"/>
      <c r="GD361" s="775"/>
      <c r="GE361" s="775"/>
      <c r="GF361" s="775"/>
      <c r="GG361" s="775"/>
    </row>
    <row r="362" spans="70:189">
      <c r="BR362" s="775"/>
      <c r="BS362" s="775"/>
      <c r="BT362" s="775"/>
      <c r="BU362" s="775"/>
      <c r="BV362" s="775"/>
      <c r="BW362" s="775"/>
      <c r="BX362" s="775"/>
      <c r="BY362" s="775"/>
      <c r="BZ362" s="775"/>
      <c r="CA362" s="775"/>
      <c r="CB362" s="775"/>
      <c r="CC362" s="775"/>
      <c r="CD362" s="775"/>
      <c r="CE362" s="775"/>
      <c r="CF362" s="775"/>
      <c r="CG362" s="775"/>
      <c r="CH362" s="775"/>
      <c r="CI362" s="775"/>
      <c r="CJ362" s="775"/>
      <c r="CK362" s="775"/>
      <c r="CL362" s="775"/>
      <c r="CM362" s="775"/>
      <c r="CN362" s="775"/>
      <c r="CO362" s="775"/>
      <c r="CP362" s="775"/>
      <c r="CQ362" s="775"/>
      <c r="CR362" s="775"/>
      <c r="CS362" s="775"/>
      <c r="CT362" s="775"/>
      <c r="CU362" s="775"/>
      <c r="CV362" s="775"/>
      <c r="CW362" s="775"/>
      <c r="CX362" s="775"/>
      <c r="CY362" s="775"/>
      <c r="CZ362" s="775"/>
      <c r="DA362" s="775"/>
      <c r="DB362" s="775"/>
      <c r="DC362" s="775"/>
      <c r="DD362" s="775"/>
      <c r="DE362" s="775"/>
      <c r="DF362" s="775"/>
      <c r="DG362" s="775"/>
      <c r="DH362" s="775"/>
      <c r="DI362" s="775"/>
      <c r="DJ362" s="775"/>
      <c r="DK362" s="775"/>
      <c r="DL362" s="775"/>
      <c r="DM362" s="775"/>
      <c r="DN362" s="775"/>
      <c r="DO362" s="775"/>
      <c r="DP362" s="775"/>
      <c r="DQ362" s="775"/>
      <c r="DR362" s="775"/>
      <c r="DS362" s="775"/>
      <c r="DT362" s="775"/>
      <c r="DU362" s="775"/>
      <c r="DV362" s="775"/>
      <c r="DW362" s="775"/>
      <c r="DX362" s="775"/>
      <c r="DY362" s="775"/>
      <c r="DZ362" s="775"/>
      <c r="EA362" s="775"/>
      <c r="EB362" s="775"/>
      <c r="EC362" s="775"/>
      <c r="ED362" s="775"/>
      <c r="EE362" s="775"/>
      <c r="EF362" s="775"/>
      <c r="EG362" s="775"/>
      <c r="EH362" s="775"/>
      <c r="EI362" s="775"/>
      <c r="EJ362" s="775"/>
      <c r="EK362" s="775"/>
      <c r="EL362" s="775"/>
      <c r="EM362" s="775"/>
      <c r="EN362" s="775"/>
      <c r="EO362" s="775"/>
      <c r="EP362" s="775"/>
      <c r="EQ362" s="775"/>
      <c r="ER362" s="775"/>
      <c r="ES362" s="775"/>
      <c r="ET362" s="775"/>
      <c r="EU362" s="775"/>
      <c r="EV362" s="775"/>
      <c r="EW362" s="775"/>
      <c r="EX362" s="775"/>
      <c r="EY362" s="775"/>
      <c r="EZ362" s="775"/>
      <c r="FA362" s="775"/>
      <c r="FB362" s="775"/>
      <c r="FC362" s="775"/>
      <c r="FD362" s="775"/>
      <c r="FE362" s="775"/>
      <c r="FF362" s="775"/>
      <c r="FG362" s="775"/>
      <c r="FH362" s="775"/>
      <c r="FI362" s="775"/>
      <c r="FJ362" s="775"/>
      <c r="FK362" s="775"/>
      <c r="FL362" s="775"/>
      <c r="FM362" s="775"/>
      <c r="FN362" s="775"/>
      <c r="FO362" s="775"/>
      <c r="FP362" s="775"/>
      <c r="FQ362" s="775"/>
      <c r="FR362" s="775"/>
      <c r="FS362" s="775"/>
      <c r="FT362" s="775"/>
      <c r="FU362" s="775"/>
      <c r="FV362" s="775"/>
      <c r="FW362" s="775"/>
      <c r="FX362" s="775"/>
      <c r="FY362" s="775"/>
      <c r="FZ362" s="775"/>
      <c r="GA362" s="775"/>
      <c r="GB362" s="775"/>
      <c r="GC362" s="775"/>
      <c r="GD362" s="775"/>
      <c r="GE362" s="775"/>
      <c r="GF362" s="775"/>
      <c r="GG362" s="775"/>
    </row>
    <row r="363" spans="70:189">
      <c r="BR363" s="775"/>
      <c r="BS363" s="775"/>
      <c r="BT363" s="775"/>
      <c r="BU363" s="775"/>
      <c r="BV363" s="775"/>
      <c r="BW363" s="775"/>
      <c r="BX363" s="775"/>
      <c r="BY363" s="775"/>
      <c r="BZ363" s="775"/>
      <c r="CA363" s="775"/>
      <c r="CB363" s="775"/>
      <c r="CC363" s="775"/>
      <c r="CD363" s="775"/>
      <c r="CE363" s="775"/>
      <c r="CF363" s="775"/>
      <c r="CG363" s="775"/>
      <c r="CH363" s="775"/>
      <c r="CI363" s="775"/>
      <c r="CJ363" s="775"/>
      <c r="CK363" s="775"/>
      <c r="CL363" s="775"/>
      <c r="CM363" s="775"/>
      <c r="CN363" s="775"/>
      <c r="CO363" s="775"/>
      <c r="CP363" s="775"/>
      <c r="CQ363" s="775"/>
      <c r="CR363" s="775"/>
      <c r="CS363" s="775"/>
      <c r="CT363" s="775"/>
      <c r="CU363" s="775"/>
      <c r="CV363" s="775"/>
      <c r="CW363" s="775"/>
      <c r="CX363" s="775"/>
      <c r="CY363" s="775"/>
      <c r="CZ363" s="775"/>
      <c r="DA363" s="775"/>
      <c r="DB363" s="775"/>
      <c r="DC363" s="775"/>
      <c r="DD363" s="775"/>
      <c r="DE363" s="775"/>
      <c r="DF363" s="775"/>
      <c r="DG363" s="775"/>
      <c r="DH363" s="775"/>
      <c r="DI363" s="775"/>
      <c r="DJ363" s="775"/>
      <c r="DK363" s="775"/>
      <c r="DL363" s="775"/>
      <c r="DM363" s="775"/>
      <c r="DN363" s="775"/>
      <c r="DO363" s="775"/>
      <c r="DP363" s="775"/>
      <c r="DQ363" s="775"/>
      <c r="DR363" s="775"/>
      <c r="DS363" s="775"/>
      <c r="DT363" s="775"/>
      <c r="DU363" s="775"/>
      <c r="DV363" s="775"/>
      <c r="DW363" s="775"/>
      <c r="DX363" s="775"/>
      <c r="DY363" s="775"/>
      <c r="DZ363" s="775"/>
      <c r="EA363" s="775"/>
      <c r="EB363" s="775"/>
      <c r="EC363" s="775"/>
      <c r="ED363" s="775"/>
      <c r="EE363" s="775"/>
      <c r="EF363" s="775"/>
      <c r="EG363" s="775"/>
      <c r="EH363" s="775"/>
      <c r="EI363" s="775"/>
      <c r="EJ363" s="775"/>
      <c r="EK363" s="775"/>
      <c r="EL363" s="775"/>
      <c r="EM363" s="775"/>
      <c r="EN363" s="775"/>
      <c r="EO363" s="775"/>
      <c r="EP363" s="775"/>
      <c r="EQ363" s="775"/>
      <c r="ER363" s="775"/>
      <c r="ES363" s="775"/>
      <c r="ET363" s="775"/>
      <c r="EU363" s="775"/>
      <c r="EV363" s="775"/>
      <c r="EW363" s="775"/>
      <c r="EX363" s="775"/>
      <c r="EY363" s="775"/>
      <c r="EZ363" s="775"/>
      <c r="FA363" s="775"/>
      <c r="FB363" s="775"/>
      <c r="FC363" s="775"/>
      <c r="FD363" s="775"/>
      <c r="FE363" s="775"/>
      <c r="FF363" s="775"/>
      <c r="FG363" s="775"/>
      <c r="FH363" s="775"/>
      <c r="FI363" s="775"/>
      <c r="FJ363" s="775"/>
      <c r="FK363" s="775"/>
      <c r="FL363" s="775"/>
      <c r="FM363" s="775"/>
      <c r="FN363" s="775"/>
      <c r="FO363" s="775"/>
      <c r="FP363" s="775"/>
      <c r="FQ363" s="775"/>
      <c r="FR363" s="775"/>
      <c r="FS363" s="775"/>
      <c r="FT363" s="775"/>
      <c r="FU363" s="775"/>
      <c r="FV363" s="775"/>
      <c r="FW363" s="775"/>
      <c r="FX363" s="775"/>
      <c r="FY363" s="775"/>
      <c r="FZ363" s="775"/>
      <c r="GA363" s="775"/>
      <c r="GB363" s="775"/>
      <c r="GC363" s="775"/>
      <c r="GD363" s="775"/>
      <c r="GE363" s="775"/>
      <c r="GF363" s="775"/>
      <c r="GG363" s="775"/>
    </row>
  </sheetData>
  <sheetProtection algorithmName="SHA-512" hashValue="XiK4QqbP5b+WU8olLbvv58NqQRoYkhdgLDHaxfNX1us6RxNiZYX4VNngc5oTGhCtFvoSfUv2fFJ413Mov37WeQ==" saltValue="Xg4NcXkbyIhXOqOEL/fmvw==" spinCount="100000" sheet="1" objects="1" scenarios="1"/>
  <protectedRanges>
    <protectedRange sqref="AQ98:AS98" name="Checkbox results"/>
    <protectedRange sqref="C41:K52" name="SoilProfile2"/>
    <protectedRange sqref="C61:K72" name="SoilProfile3"/>
    <protectedRange sqref="C13" name="PlantListChoice"/>
    <protectedRange sqref="F8:H12" name="WaterProfileChoice"/>
    <protectedRange sqref="C66:K72 C32:K32" name="SoilProfile1"/>
    <protectedRange sqref="H19:I19 H39:I39 H59:I59" name="UnitChoices"/>
    <protectedRange sqref="E17 E37 E57" name="SiteNames"/>
    <protectedRange sqref="R16 V16 V36:V37 V56:V57" name="Checkboxes"/>
    <protectedRange sqref="C21:K31" name="SoilProfile1_1"/>
  </protectedRanges>
  <mergeCells count="218">
    <mergeCell ref="R60:T60"/>
    <mergeCell ref="AO109:AP109"/>
    <mergeCell ref="P16:R16"/>
    <mergeCell ref="AO100:AP100"/>
    <mergeCell ref="AO101:AP101"/>
    <mergeCell ref="AO102:AP102"/>
    <mergeCell ref="AO103:AP103"/>
    <mergeCell ref="AO104:AP104"/>
    <mergeCell ref="AO105:AP105"/>
    <mergeCell ref="AO106:AP106"/>
    <mergeCell ref="AO107:AP107"/>
    <mergeCell ref="AO108:AP108"/>
    <mergeCell ref="AO89:AP89"/>
    <mergeCell ref="S50:T50"/>
    <mergeCell ref="S51:T51"/>
    <mergeCell ref="S52:T52"/>
    <mergeCell ref="O69:Q69"/>
    <mergeCell ref="O70:Q70"/>
    <mergeCell ref="S32:T32"/>
    <mergeCell ref="N56:Q56"/>
    <mergeCell ref="AO84:AP84"/>
    <mergeCell ref="AO85:AP85"/>
    <mergeCell ref="W69:Z72"/>
    <mergeCell ref="O51:Q51"/>
    <mergeCell ref="AB10:AJ11"/>
    <mergeCell ref="T9:U9"/>
    <mergeCell ref="J14:T14"/>
    <mergeCell ref="T6:U6"/>
    <mergeCell ref="T8:U8"/>
    <mergeCell ref="T7:U7"/>
    <mergeCell ref="J6:R9"/>
    <mergeCell ref="J10:R13"/>
    <mergeCell ref="O28:Q28"/>
    <mergeCell ref="O18:Q18"/>
    <mergeCell ref="O19:Q19"/>
    <mergeCell ref="O20:Q20"/>
    <mergeCell ref="O21:Q21"/>
    <mergeCell ref="O22:Q22"/>
    <mergeCell ref="I17:K17"/>
    <mergeCell ref="L17:Q17"/>
    <mergeCell ref="J15:R15"/>
    <mergeCell ref="S15:T16"/>
    <mergeCell ref="AA13:AJ14"/>
    <mergeCell ref="X15:Z16"/>
    <mergeCell ref="W15:W16"/>
    <mergeCell ref="U15:V16"/>
    <mergeCell ref="R20:T20"/>
    <mergeCell ref="E1:G1"/>
    <mergeCell ref="C13:H13"/>
    <mergeCell ref="N33:S33"/>
    <mergeCell ref="B4:E4"/>
    <mergeCell ref="C1:D1"/>
    <mergeCell ref="O46:Q46"/>
    <mergeCell ref="O47:Q47"/>
    <mergeCell ref="I37:K37"/>
    <mergeCell ref="C12:E12"/>
    <mergeCell ref="O26:Q26"/>
    <mergeCell ref="O27:Q27"/>
    <mergeCell ref="N34:U35"/>
    <mergeCell ref="E16:H16"/>
    <mergeCell ref="C14:H15"/>
    <mergeCell ref="I10:I13"/>
    <mergeCell ref="U33:W33"/>
    <mergeCell ref="U13:W13"/>
    <mergeCell ref="W29:Z32"/>
    <mergeCell ref="X2:AA2"/>
    <mergeCell ref="S29:T29"/>
    <mergeCell ref="S30:T30"/>
    <mergeCell ref="S31:T31"/>
    <mergeCell ref="O30:Q30"/>
    <mergeCell ref="I6:I9"/>
    <mergeCell ref="C7:E7"/>
    <mergeCell ref="B2:H2"/>
    <mergeCell ref="J5:R5"/>
    <mergeCell ref="B13:B14"/>
    <mergeCell ref="H18:I18"/>
    <mergeCell ref="H38:I38"/>
    <mergeCell ref="O23:Q23"/>
    <mergeCell ref="O24:Q24"/>
    <mergeCell ref="O25:Q25"/>
    <mergeCell ref="B5:H6"/>
    <mergeCell ref="C8:E8"/>
    <mergeCell ref="C9:E9"/>
    <mergeCell ref="C10:E10"/>
    <mergeCell ref="C11:E11"/>
    <mergeCell ref="H58:I58"/>
    <mergeCell ref="E19:F19"/>
    <mergeCell ref="O71:Q71"/>
    <mergeCell ref="O72:Q72"/>
    <mergeCell ref="S49:T49"/>
    <mergeCell ref="N53:S53"/>
    <mergeCell ref="O31:Q31"/>
    <mergeCell ref="O32:Q32"/>
    <mergeCell ref="O29:Q29"/>
    <mergeCell ref="O38:Q38"/>
    <mergeCell ref="O39:Q39"/>
    <mergeCell ref="O40:Q40"/>
    <mergeCell ref="O41:Q41"/>
    <mergeCell ref="O42:Q42"/>
    <mergeCell ref="O43:Q43"/>
    <mergeCell ref="O44:Q44"/>
    <mergeCell ref="E59:F59"/>
    <mergeCell ref="N36:Q36"/>
    <mergeCell ref="O48:Q48"/>
    <mergeCell ref="S36:T36"/>
    <mergeCell ref="O45:Q45"/>
    <mergeCell ref="O58:Q58"/>
    <mergeCell ref="N54:U55"/>
    <mergeCell ref="O50:Q50"/>
    <mergeCell ref="U53:W53"/>
    <mergeCell ref="O49:Q49"/>
    <mergeCell ref="W49:Z52"/>
    <mergeCell ref="S56:T56"/>
    <mergeCell ref="X56:Z56"/>
    <mergeCell ref="E57:H57"/>
    <mergeCell ref="E17:H17"/>
    <mergeCell ref="B17:D17"/>
    <mergeCell ref="B37:D37"/>
    <mergeCell ref="E37:H37"/>
    <mergeCell ref="B57:D57"/>
    <mergeCell ref="E36:H36"/>
    <mergeCell ref="E39:F39"/>
    <mergeCell ref="E56:H56"/>
    <mergeCell ref="D34:M34"/>
    <mergeCell ref="D54:M54"/>
    <mergeCell ref="I57:K57"/>
    <mergeCell ref="U36:V36"/>
    <mergeCell ref="U56:V56"/>
    <mergeCell ref="R40:T40"/>
    <mergeCell ref="O52:Q52"/>
    <mergeCell ref="O66:Q66"/>
    <mergeCell ref="O67:Q67"/>
    <mergeCell ref="AU108:AV108"/>
    <mergeCell ref="AU109:AV109"/>
    <mergeCell ref="O68:Q68"/>
    <mergeCell ref="O59:Q59"/>
    <mergeCell ref="O60:Q60"/>
    <mergeCell ref="O61:Q61"/>
    <mergeCell ref="O62:Q62"/>
    <mergeCell ref="O63:Q63"/>
    <mergeCell ref="O64:Q64"/>
    <mergeCell ref="O65:Q65"/>
    <mergeCell ref="AU89:AV89"/>
    <mergeCell ref="AU86:AV86"/>
    <mergeCell ref="S69:T69"/>
    <mergeCell ref="S70:T70"/>
    <mergeCell ref="S71:T71"/>
    <mergeCell ref="S72:T72"/>
    <mergeCell ref="AU88:AV88"/>
    <mergeCell ref="AO86:AP86"/>
    <mergeCell ref="AO87:AP87"/>
    <mergeCell ref="AO88:AP88"/>
    <mergeCell ref="AO83:AP83"/>
    <mergeCell ref="AU87:AV87"/>
    <mergeCell ref="N74:U75"/>
    <mergeCell ref="N73:S73"/>
    <mergeCell ref="V81:AB82"/>
    <mergeCell ref="U73:W73"/>
    <mergeCell ref="AO78:AP78"/>
    <mergeCell ref="AO79:AP79"/>
    <mergeCell ref="AO82:AP82"/>
    <mergeCell ref="D74:M74"/>
    <mergeCell ref="V74:AA76"/>
    <mergeCell ref="AU102:AV102"/>
    <mergeCell ref="BA102:BB102"/>
    <mergeCell ref="AU103:AV103"/>
    <mergeCell ref="AU104:AV104"/>
    <mergeCell ref="AU106:AV106"/>
    <mergeCell ref="AU107:AV107"/>
    <mergeCell ref="AU100:AV100"/>
    <mergeCell ref="AU83:AV83"/>
    <mergeCell ref="AU84:AV84"/>
    <mergeCell ref="BA79:BB79"/>
    <mergeCell ref="BA82:BB82"/>
    <mergeCell ref="AU78:AV78"/>
    <mergeCell ref="AU79:AV79"/>
    <mergeCell ref="AU82:AV82"/>
    <mergeCell ref="BA78:BB78"/>
    <mergeCell ref="BA100:BB100"/>
    <mergeCell ref="AU101:AV101"/>
    <mergeCell ref="BA101:BB101"/>
    <mergeCell ref="BV267:BX267"/>
    <mergeCell ref="DA267:DC267"/>
    <mergeCell ref="EC267:EE267"/>
    <mergeCell ref="FH267:FJ267"/>
    <mergeCell ref="BV145:BX145"/>
    <mergeCell ref="DA145:DC145"/>
    <mergeCell ref="EC145:EE145"/>
    <mergeCell ref="FH145:FJ145"/>
    <mergeCell ref="BV146:BX146"/>
    <mergeCell ref="DA146:DC146"/>
    <mergeCell ref="EC146:EE146"/>
    <mergeCell ref="FH146:FJ146"/>
    <mergeCell ref="BV147:BX147"/>
    <mergeCell ref="DA147:DC147"/>
    <mergeCell ref="EC147:EE147"/>
    <mergeCell ref="FH147:FJ147"/>
    <mergeCell ref="BV265:BX265"/>
    <mergeCell ref="DA265:DC265"/>
    <mergeCell ref="EC265:EE265"/>
    <mergeCell ref="FH265:FJ265"/>
    <mergeCell ref="BV266:BX266"/>
    <mergeCell ref="DA266:DC266"/>
    <mergeCell ref="EC266:EE266"/>
    <mergeCell ref="FH266:FJ266"/>
    <mergeCell ref="BV26:BX26"/>
    <mergeCell ref="BV27:BX27"/>
    <mergeCell ref="BV28:BX28"/>
    <mergeCell ref="DA26:DC26"/>
    <mergeCell ref="DA27:DC27"/>
    <mergeCell ref="DA28:DC28"/>
    <mergeCell ref="X36:Z36"/>
    <mergeCell ref="EC26:EE26"/>
    <mergeCell ref="FH26:FJ26"/>
    <mergeCell ref="EC27:EE27"/>
    <mergeCell ref="FH27:FJ27"/>
    <mergeCell ref="EC28:EE28"/>
    <mergeCell ref="FH28:FJ28"/>
  </mergeCells>
  <conditionalFormatting sqref="F8:F12">
    <cfRule type="expression" dxfId="47" priority="51">
      <formula>COUNTA($F$8:$F$12)&gt;1</formula>
    </cfRule>
  </conditionalFormatting>
  <conditionalFormatting sqref="G8:G12">
    <cfRule type="expression" dxfId="46" priority="50">
      <formula>COUNTA($G$8:$G$12)&gt;1</formula>
    </cfRule>
  </conditionalFormatting>
  <conditionalFormatting sqref="H8:H12">
    <cfRule type="expression" dxfId="45" priority="49">
      <formula>COUNTA($H$8:$H$12)&gt;1</formula>
    </cfRule>
  </conditionalFormatting>
  <conditionalFormatting sqref="B5:H6">
    <cfRule type="expression" dxfId="44" priority="46">
      <formula>$H$4&gt;1</formula>
    </cfRule>
    <cfRule type="expression" dxfId="43" priority="47">
      <formula>$G$4&gt;1</formula>
    </cfRule>
    <cfRule type="expression" dxfId="42" priority="48">
      <formula>$F$4&gt;1</formula>
    </cfRule>
  </conditionalFormatting>
  <conditionalFormatting sqref="BY22:BY121">
    <cfRule type="cellIs" dxfId="41" priority="41" operator="equal">
      <formula>TRUE</formula>
    </cfRule>
  </conditionalFormatting>
  <conditionalFormatting sqref="DD22:DD121">
    <cfRule type="cellIs" dxfId="40" priority="40" operator="equal">
      <formula>TRUE</formula>
    </cfRule>
  </conditionalFormatting>
  <conditionalFormatting sqref="EF22:EF121">
    <cfRule type="cellIs" dxfId="39" priority="39" operator="equal">
      <formula>TRUE</formula>
    </cfRule>
  </conditionalFormatting>
  <conditionalFormatting sqref="FK22:FK121">
    <cfRule type="cellIs" dxfId="38" priority="38" operator="equal">
      <formula>TRUE</formula>
    </cfRule>
  </conditionalFormatting>
  <conditionalFormatting sqref="BY141:BY240">
    <cfRule type="cellIs" dxfId="37" priority="37" operator="equal">
      <formula>TRUE</formula>
    </cfRule>
  </conditionalFormatting>
  <conditionalFormatting sqref="DD141:DD240">
    <cfRule type="cellIs" dxfId="36" priority="36" operator="equal">
      <formula>TRUE</formula>
    </cfRule>
  </conditionalFormatting>
  <conditionalFormatting sqref="EF141:EF240">
    <cfRule type="cellIs" dxfId="35" priority="35" operator="equal">
      <formula>TRUE</formula>
    </cfRule>
  </conditionalFormatting>
  <conditionalFormatting sqref="FK141:FK240">
    <cfRule type="cellIs" dxfId="34" priority="34" operator="equal">
      <formula>TRUE</formula>
    </cfRule>
  </conditionalFormatting>
  <conditionalFormatting sqref="BY261:BY360">
    <cfRule type="cellIs" dxfId="33" priority="33" operator="equal">
      <formula>TRUE</formula>
    </cfRule>
  </conditionalFormatting>
  <conditionalFormatting sqref="DD261:DD360">
    <cfRule type="cellIs" dxfId="32" priority="32" operator="equal">
      <formula>TRUE</formula>
    </cfRule>
  </conditionalFormatting>
  <conditionalFormatting sqref="EF261:EF360">
    <cfRule type="cellIs" dxfId="31" priority="31" operator="equal">
      <formula>TRUE</formula>
    </cfRule>
  </conditionalFormatting>
  <conditionalFormatting sqref="FK261:FK360">
    <cfRule type="cellIs" dxfId="30" priority="30" operator="equal">
      <formula>TRUE</formula>
    </cfRule>
  </conditionalFormatting>
  <conditionalFormatting sqref="V17">
    <cfRule type="cellIs" dxfId="29" priority="10" operator="equal">
      <formula>"Very Low"</formula>
    </cfRule>
    <cfRule type="cellIs" dxfId="28" priority="11" operator="equal">
      <formula>"Low"</formula>
    </cfRule>
    <cfRule type="cellIs" dxfId="27" priority="12" operator="equal">
      <formula>"Moderate"</formula>
    </cfRule>
    <cfRule type="cellIs" dxfId="26" priority="21" operator="equal">
      <formula>"High"</formula>
    </cfRule>
  </conditionalFormatting>
  <conditionalFormatting sqref="W20">
    <cfRule type="cellIs" dxfId="25" priority="18" operator="greaterThan">
      <formula>0.8</formula>
    </cfRule>
    <cfRule type="cellIs" dxfId="24" priority="19" operator="between">
      <formula>0.65</formula>
      <formula>0.8</formula>
    </cfRule>
  </conditionalFormatting>
  <conditionalFormatting sqref="W40">
    <cfRule type="cellIs" dxfId="23" priority="16" operator="greaterThan">
      <formula>0.8</formula>
    </cfRule>
    <cfRule type="cellIs" dxfId="22" priority="17" operator="between">
      <formula>0.65</formula>
      <formula>0.8</formula>
    </cfRule>
  </conditionalFormatting>
  <conditionalFormatting sqref="U15">
    <cfRule type="cellIs" dxfId="21" priority="15" operator="equal">
      <formula>"LF value is considered too high, click here for more detail"</formula>
    </cfRule>
  </conditionalFormatting>
  <conditionalFormatting sqref="U36">
    <cfRule type="cellIs" dxfId="20" priority="13" operator="equal">
      <formula>"LF value is considered too high, click here for more detail"</formula>
    </cfRule>
  </conditionalFormatting>
  <conditionalFormatting sqref="V37">
    <cfRule type="cellIs" dxfId="19" priority="6" operator="equal">
      <formula>"Very Low"</formula>
    </cfRule>
    <cfRule type="cellIs" dxfId="18" priority="7" operator="equal">
      <formula>"Low"</formula>
    </cfRule>
    <cfRule type="cellIs" dxfId="17" priority="8" operator="equal">
      <formula>"Moderate"</formula>
    </cfRule>
    <cfRule type="cellIs" dxfId="16" priority="9" operator="equal">
      <formula>"High"</formula>
    </cfRule>
  </conditionalFormatting>
  <conditionalFormatting sqref="V57">
    <cfRule type="cellIs" dxfId="15" priority="2" operator="equal">
      <formula>"Very Low"</formula>
    </cfRule>
    <cfRule type="cellIs" dxfId="14" priority="3" operator="equal">
      <formula>"Low"</formula>
    </cfRule>
    <cfRule type="cellIs" dxfId="13" priority="4" operator="equal">
      <formula>"Moderate"</formula>
    </cfRule>
    <cfRule type="cellIs" dxfId="12" priority="5" operator="equal">
      <formula>"High"</formula>
    </cfRule>
  </conditionalFormatting>
  <conditionalFormatting sqref="U56">
    <cfRule type="cellIs" dxfId="11" priority="1" operator="equal">
      <formula>"LF value is considered too high, click here for more detail"</formula>
    </cfRule>
  </conditionalFormatting>
  <dataValidations xWindow="1104" yWindow="475" count="2">
    <dataValidation allowBlank="1" showErrorMessage="1" promptTitle="Predicted LF is too high" sqref="X12" xr:uid="{EDD413EB-96EC-4EC8-8FDB-652E0FADE290}"/>
    <dataValidation allowBlank="1" showInputMessage="1" showErrorMessage="1" prompt="The predicted LF and Dd is considered too high with a predicted value of ≥ 0.65_x000a__x000a_The predicted LF and Dd is considered unrealistically high with a predicted value of ≥ 0.8. _x000a__x000a_For more detail, please see below text below profile 3 starting from Row 77" sqref="U15:V16 U36:V36 U56:V56" xr:uid="{287C4815-E370-4C0B-9A41-9E7ED25134A6}"/>
  </dataValidations>
  <hyperlinks>
    <hyperlink ref="U2" location="'Front Page'!A1" display="Return to Front Page" xr:uid="{00000000-0004-0000-0300-000000000000}"/>
    <hyperlink ref="X2:AA2" location="'Abbreviations and Glossary'!A1" display="Link to Abbreviations and Glossary" xr:uid="{00000000-0004-0000-0300-000001000000}"/>
  </hyperlinks>
  <pageMargins left="0.23622047244094488" right="0.23622047244094488" top="0.23622047244094488" bottom="0.23622047244094488" header="0.31496062992125984" footer="0.31496062992125984"/>
  <pageSetup paperSize="8" scale="47" orientation="landscape" r:id="rId1"/>
  <drawing r:id="rId2"/>
  <extLst>
    <ext xmlns:x14="http://schemas.microsoft.com/office/spreadsheetml/2009/9/main" uri="{CCE6A557-97BC-4b89-ADB6-D9C93CAAB3DF}">
      <x14:dataValidations xmlns:xm="http://schemas.microsoft.com/office/excel/2006/main" xWindow="1104" yWindow="475" count="3">
        <x14:dataValidation type="list" allowBlank="1" showInputMessage="1" showErrorMessage="1" xr:uid="{00000000-0002-0000-0300-000000000000}">
          <x14:formula1>
            <xm:f>'Reference Lists&amp;Tables'!$D$5:$D$7</xm:f>
          </x14:formula1>
          <xm:sqref>I19 I39 I59</xm:sqref>
        </x14:dataValidation>
        <x14:dataValidation type="list" allowBlank="1" showInputMessage="1" showErrorMessage="1" xr:uid="{00000000-0002-0000-0300-000001000000}">
          <x14:formula1>
            <xm:f>'Reference Lists&amp;Tables'!$F$5:$F$6</xm:f>
          </x14:formula1>
          <xm:sqref>H19 H39 H59</xm:sqref>
        </x14:dataValidation>
        <x14:dataValidation type="list" allowBlank="1" showInputMessage="1" showErrorMessage="1" xr:uid="{DE2EE6DC-54F8-40D1-9958-C821C1BA488F}">
          <x14:formula1>
            <xm:f>'Reference Lists&amp;Tables'!$H$47:$H$192</xm:f>
          </x14:formula1>
          <xm:sqref>C13:H13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Q25"/>
  <sheetViews>
    <sheetView workbookViewId="0">
      <selection activeCell="E33" sqref="E33"/>
    </sheetView>
  </sheetViews>
  <sheetFormatPr defaultRowHeight="14.5"/>
  <cols>
    <col min="1" max="1" width="3.1796875" style="162" customWidth="1"/>
    <col min="2" max="2" width="17.81640625" customWidth="1"/>
    <col min="3" max="3" width="45.1796875" customWidth="1"/>
    <col min="4" max="4" width="25.81640625" customWidth="1"/>
    <col min="5" max="5" width="18.81640625" style="43" customWidth="1"/>
    <col min="6" max="6" width="21.1796875" style="43" customWidth="1"/>
    <col min="7" max="9" width="9.1796875" style="43"/>
    <col min="10" max="10" width="25.81640625" style="43" customWidth="1"/>
    <col min="11" max="11" width="3.1796875" customWidth="1"/>
  </cols>
  <sheetData>
    <row r="1" spans="1:17" s="162" customFormat="1" ht="15" customHeight="1" thickBot="1">
      <c r="A1" s="162" t="s">
        <v>494</v>
      </c>
      <c r="B1" s="309" t="str">
        <f>'Front Page'!C1</f>
        <v>Printed on</v>
      </c>
      <c r="C1" s="395">
        <f ca="1">'Front Page'!E1</f>
        <v>44610.35418101852</v>
      </c>
      <c r="E1" s="158"/>
      <c r="F1" s="158"/>
      <c r="G1" s="158"/>
      <c r="H1" s="158"/>
      <c r="I1" s="158"/>
      <c r="J1" s="158"/>
    </row>
    <row r="2" spans="1:17" ht="23.5">
      <c r="B2" s="339" t="s">
        <v>492</v>
      </c>
      <c r="C2" s="165"/>
      <c r="D2" s="165"/>
      <c r="E2" s="322"/>
      <c r="F2" s="415" t="s">
        <v>654</v>
      </c>
      <c r="G2" s="322"/>
      <c r="H2" s="322"/>
      <c r="I2" s="322"/>
      <c r="J2" s="340"/>
    </row>
    <row r="3" spans="1:17">
      <c r="B3" s="169"/>
      <c r="C3" s="161"/>
      <c r="D3" s="161"/>
      <c r="E3" s="161"/>
      <c r="F3" s="423"/>
      <c r="G3" s="423"/>
      <c r="H3" s="423"/>
      <c r="I3" s="423"/>
      <c r="J3" s="110"/>
    </row>
    <row r="4" spans="1:17" s="160" customFormat="1" ht="15" customHeight="1">
      <c r="A4" s="162"/>
      <c r="B4" s="1157" t="s">
        <v>1490</v>
      </c>
      <c r="C4" s="1158"/>
      <c r="D4" s="1158"/>
      <c r="E4" s="1158"/>
      <c r="F4" s="1158"/>
      <c r="G4" s="1158"/>
      <c r="H4" s="1158"/>
      <c r="I4" s="1158"/>
      <c r="J4" s="1159"/>
      <c r="K4" s="449"/>
      <c r="L4" s="449"/>
      <c r="M4" s="449"/>
      <c r="N4" s="449"/>
      <c r="O4" s="449"/>
      <c r="P4" s="449"/>
      <c r="Q4" s="449"/>
    </row>
    <row r="5" spans="1:17" s="160" customFormat="1">
      <c r="A5" s="162"/>
      <c r="B5" s="1157"/>
      <c r="C5" s="1158"/>
      <c r="D5" s="1158"/>
      <c r="E5" s="1158"/>
      <c r="F5" s="1158"/>
      <c r="G5" s="1158"/>
      <c r="H5" s="1158"/>
      <c r="I5" s="1158"/>
      <c r="J5" s="1159"/>
    </row>
    <row r="6" spans="1:17" s="160" customFormat="1">
      <c r="A6" s="162"/>
      <c r="B6" s="126"/>
      <c r="C6" s="161"/>
      <c r="D6" s="161"/>
      <c r="E6" s="161"/>
      <c r="F6" s="408"/>
      <c r="G6" s="423"/>
      <c r="H6" s="423"/>
      <c r="I6" s="423"/>
      <c r="J6" s="110"/>
    </row>
    <row r="7" spans="1:17" s="160" customFormat="1">
      <c r="A7" s="162"/>
      <c r="B7" s="169" t="s">
        <v>960</v>
      </c>
      <c r="C7" s="161"/>
      <c r="D7" s="161"/>
      <c r="E7" s="423"/>
      <c r="F7" s="423"/>
      <c r="G7" s="423"/>
      <c r="H7" s="423"/>
      <c r="I7" s="423"/>
      <c r="J7" s="110"/>
    </row>
    <row r="8" spans="1:17">
      <c r="B8" s="169"/>
      <c r="C8" s="161"/>
      <c r="D8" s="270"/>
      <c r="E8" s="451"/>
      <c r="F8" s="451"/>
      <c r="G8" s="1156" t="s">
        <v>961</v>
      </c>
      <c r="H8" s="1156"/>
      <c r="I8" s="1156"/>
      <c r="J8" s="452"/>
    </row>
    <row r="9" spans="1:17" s="46" customFormat="1" ht="31">
      <c r="A9" s="162"/>
      <c r="B9" s="61" t="s">
        <v>435</v>
      </c>
      <c r="C9" s="172" t="s">
        <v>493</v>
      </c>
      <c r="D9" s="453" t="s">
        <v>164</v>
      </c>
      <c r="E9" s="434" t="s">
        <v>962</v>
      </c>
      <c r="F9" s="434" t="s">
        <v>166</v>
      </c>
      <c r="G9" s="434" t="s">
        <v>168</v>
      </c>
      <c r="H9" s="434" t="s">
        <v>169</v>
      </c>
      <c r="I9" s="434" t="s">
        <v>170</v>
      </c>
      <c r="J9" s="454" t="s">
        <v>129</v>
      </c>
    </row>
    <row r="10" spans="1:17">
      <c r="B10" s="61" t="s">
        <v>171</v>
      </c>
      <c r="C10" s="450" t="s">
        <v>1086</v>
      </c>
      <c r="D10" s="346" t="str">
        <f>VLOOKUP($C10,'Plants by Category'!$B8:$I29,2,FALSE)</f>
        <v>Saccharum officinarum</v>
      </c>
      <c r="E10" s="410">
        <f>VLOOKUP($C10,'Plants by Category'!$B8:$I29,3,FALSE)</f>
        <v>1</v>
      </c>
      <c r="F10" s="410">
        <f>VLOOKUP($C10,'Plants by Category'!$B8:$I29,4,FALSE)</f>
        <v>6.7</v>
      </c>
      <c r="G10" s="410">
        <f>VLOOKUP($C10,'Plants by Category'!$B8:$I29,5,FALSE)</f>
        <v>0</v>
      </c>
      <c r="H10" s="410">
        <f>VLOOKUP($C10,'Plants by Category'!$B8:$I29,6,FALSE)</f>
        <v>0</v>
      </c>
      <c r="I10" s="410">
        <f>VLOOKUP($C10,'Plants by Category'!$B8:$I29,7,FALSE)</f>
        <v>0</v>
      </c>
      <c r="J10" s="412" t="str">
        <f>VLOOKUP($C10,'Plants by Category'!$B8:$I29,8,FALSE)</f>
        <v>moderately sensitive</v>
      </c>
    </row>
    <row r="11" spans="1:17">
      <c r="B11" s="61" t="s">
        <v>206</v>
      </c>
      <c r="C11" s="450" t="s">
        <v>209</v>
      </c>
      <c r="D11" s="346" t="str">
        <f>VLOOKUP($C11,'Plants by Category'!$B31:$I53,2,FALSE)</f>
        <v>Malus sylvestris</v>
      </c>
      <c r="E11" s="410">
        <f>VLOOKUP($C11,'Plants by Category'!$B31:$I53,3,FALSE)</f>
        <v>1</v>
      </c>
      <c r="F11" s="410">
        <f>VLOOKUP($C11,'Plants by Category'!$B31:$I53,4,FALSE)</f>
        <v>18</v>
      </c>
      <c r="G11" s="410">
        <f>VLOOKUP($C11,'Plants by Category'!$B31:$I53,5,FALSE)</f>
        <v>1.6</v>
      </c>
      <c r="H11" s="410">
        <f>VLOOKUP($C11,'Plants by Category'!$B31:$I53,6,FALSE)</f>
        <v>2.4</v>
      </c>
      <c r="I11" s="410">
        <f>VLOOKUP($C11,'Plants by Category'!$B31:$I53,7,FALSE)</f>
        <v>3.8</v>
      </c>
      <c r="J11" s="412" t="str">
        <f>VLOOKUP($C11,'Plants by Category'!$B31:$I53,8,FALSE)</f>
        <v>moderately tolerant</v>
      </c>
    </row>
    <row r="12" spans="1:17">
      <c r="B12" s="61" t="s">
        <v>252</v>
      </c>
      <c r="C12" s="450" t="s">
        <v>258</v>
      </c>
      <c r="D12" s="346" t="str">
        <f>VLOOKUP($C12,'Plants by Category'!$B55:$I59,2,FALSE)</f>
        <v>Solanum tuberosum</v>
      </c>
      <c r="E12" s="410">
        <f>VLOOKUP($C12,'Plants by Category'!$B55:$I59,3,FALSE)</f>
        <v>1.7</v>
      </c>
      <c r="F12" s="410">
        <f>VLOOKUP($C12,'Plants by Category'!$B55:$I59,4,FALSE)</f>
        <v>12</v>
      </c>
      <c r="G12" s="410">
        <f>VLOOKUP($C12,'Plants by Category'!$B55:$I59,5,FALSE)</f>
        <v>2.5</v>
      </c>
      <c r="H12" s="410">
        <f>VLOOKUP($C12,'Plants by Category'!$B55:$I59,6,FALSE)</f>
        <v>3.8</v>
      </c>
      <c r="I12" s="410">
        <f>VLOOKUP($C12,'Plants by Category'!$B55:$I59,7,FALSE)</f>
        <v>5.9</v>
      </c>
      <c r="J12" s="412" t="str">
        <f>VLOOKUP($C12,'Plants by Category'!$B55:$I59,8,FALSE)</f>
        <v>moderately tolerant</v>
      </c>
    </row>
    <row r="13" spans="1:17">
      <c r="B13" s="61" t="s">
        <v>262</v>
      </c>
      <c r="C13" s="450" t="s">
        <v>271</v>
      </c>
      <c r="D13" s="346" t="str">
        <f>VLOOKUP($C13,'Plants by Category'!$B61:$I81,2,FALSE)</f>
        <v>Bougainvillea spectabilis</v>
      </c>
      <c r="E13" s="410">
        <f>VLOOKUP($C13,'Plants by Category'!$B61:$I81,3,FALSE)</f>
        <v>8.5</v>
      </c>
      <c r="F13" s="410" t="str">
        <f>VLOOKUP($C13,'Plants by Category'!$B61:$I81,4,FALSE)</f>
        <v xml:space="preserve"> </v>
      </c>
      <c r="G13" s="410" t="str">
        <f>VLOOKUP($C13,'Plants by Category'!$B61:$I81,5,FALSE)</f>
        <v xml:space="preserve"> </v>
      </c>
      <c r="H13" s="410" t="str">
        <f>VLOOKUP($C13,'Plants by Category'!$B61:$I81,6,FALSE)</f>
        <v xml:space="preserve"> </v>
      </c>
      <c r="I13" s="410" t="str">
        <f>VLOOKUP($C13,'Plants by Category'!$B61:$I81,7,FALSE)</f>
        <v xml:space="preserve"> </v>
      </c>
      <c r="J13" s="412" t="str">
        <f>VLOOKUP($C13,'Plants by Category'!$B61:$I81,8,FALSE)</f>
        <v>very highly tolerant</v>
      </c>
    </row>
    <row r="14" spans="1:17">
      <c r="B14" s="61" t="s">
        <v>305</v>
      </c>
      <c r="C14" s="450" t="s">
        <v>357</v>
      </c>
      <c r="D14" s="346" t="str">
        <f>VLOOKUP($C14,'Plants by Category'!$B83:$I131,2,FALSE)</f>
        <v>Medicago sativa</v>
      </c>
      <c r="E14" s="410">
        <f>VLOOKUP($C14,'Plants by Category'!$B83:$I131,3,FALSE)</f>
        <v>2</v>
      </c>
      <c r="F14" s="410">
        <f>VLOOKUP($C14,'Plants by Category'!$B83:$I131,4,FALSE)</f>
        <v>7.3</v>
      </c>
      <c r="G14" s="410">
        <f>VLOOKUP($C14,'Plants by Category'!$B83:$I131,5,FALSE)</f>
        <v>3.4</v>
      </c>
      <c r="H14" s="410">
        <f>VLOOKUP($C14,'Plants by Category'!$B83:$I131,6,FALSE)</f>
        <v>5.4</v>
      </c>
      <c r="I14" s="410">
        <f>VLOOKUP($C14,'Plants by Category'!$B83:$I131,7,FALSE)</f>
        <v>8.8000000000000007</v>
      </c>
      <c r="J14" s="412" t="str">
        <f>VLOOKUP($C14,'Plants by Category'!$B83:$I131,8,FALSE)</f>
        <v>tolerant</v>
      </c>
    </row>
    <row r="15" spans="1:17">
      <c r="B15" s="61" t="s">
        <v>396</v>
      </c>
      <c r="C15" s="450" t="s">
        <v>424</v>
      </c>
      <c r="D15" s="346" t="str">
        <f>VLOOKUP($C15,'Plants by Category'!$B133:$I152,2,FALSE)</f>
        <v>Spinacia oleracea</v>
      </c>
      <c r="E15" s="410">
        <f>VLOOKUP($C15,'Plants by Category'!$B133:$I152,3,FALSE)</f>
        <v>2</v>
      </c>
      <c r="F15" s="410">
        <f>VLOOKUP($C15,'Plants by Category'!$B133:$I152,4,FALSE)</f>
        <v>7.6</v>
      </c>
      <c r="G15" s="410">
        <f>VLOOKUP($C15,'Plants by Category'!$B133:$I152,5,FALSE)</f>
        <v>3.3</v>
      </c>
      <c r="H15" s="410">
        <f>VLOOKUP($C15,'Plants by Category'!$B133:$I152,6,FALSE)</f>
        <v>5.3</v>
      </c>
      <c r="I15" s="410">
        <f>VLOOKUP($C15,'Plants by Category'!$B133:$I152,7,FALSE)</f>
        <v>8.6</v>
      </c>
      <c r="J15" s="412" t="str">
        <f>VLOOKUP($C15,'Plants by Category'!$B133:$I152,8,FALSE)</f>
        <v>tolerant</v>
      </c>
    </row>
    <row r="16" spans="1:17" s="724" customFormat="1">
      <c r="A16" s="162"/>
      <c r="B16" s="61" t="s">
        <v>1577</v>
      </c>
      <c r="C16" s="450"/>
      <c r="D16" s="346" t="str">
        <f>IF(ISTEXT(C16),VLOOKUP($C16,'Plants by Category'!$B154:$I158,2,FALSE),"")</f>
        <v/>
      </c>
      <c r="E16" s="725" t="str">
        <f>IF(ISTEXT(C16),VLOOKUP($C16,'Plants by Category'!$B154:$I158,3,FALSE),"")</f>
        <v/>
      </c>
      <c r="F16" s="725" t="str">
        <f>IF(ISTEXT(C16),VLOOKUP($C16,'Plants by Category'!$B154:$I158,4,FALSE),"")</f>
        <v/>
      </c>
      <c r="G16" s="725" t="str">
        <f>IF(ISTEXT(C16),VLOOKUP($C16,'Plants by Category'!$B154:$I158,5,FALSE),"")</f>
        <v/>
      </c>
      <c r="H16" s="725" t="str">
        <f>IF(ISTEXT(C16),VLOOKUP($C16,'Plants by Category'!$B154:$I158,6,FALSE),"")</f>
        <v/>
      </c>
      <c r="I16" s="725" t="str">
        <f>IF(ISTEXT(C16),VLOOKUP($C16,'Plants by Category'!$B154:$I158,7,FALSE),"")</f>
        <v/>
      </c>
      <c r="J16" s="726" t="str">
        <f>IF(ISTEXT(C16),VLOOKUP($C16,'Plants by Category'!$B154:$I158,8,FALSE),"")</f>
        <v/>
      </c>
    </row>
    <row r="17" spans="1:10">
      <c r="B17" s="169"/>
      <c r="C17" s="161"/>
      <c r="D17" s="161"/>
      <c r="E17" s="306"/>
      <c r="F17" s="423"/>
      <c r="G17" s="423"/>
      <c r="H17" s="423"/>
      <c r="I17" s="423"/>
      <c r="J17" s="110"/>
    </row>
    <row r="18" spans="1:10" s="160" customFormat="1" ht="29.25" customHeight="1">
      <c r="A18" s="162"/>
      <c r="B18" s="1154" t="s">
        <v>1084</v>
      </c>
      <c r="C18" s="1066"/>
      <c r="D18" s="1066"/>
      <c r="E18" s="1066"/>
      <c r="F18" s="1066"/>
      <c r="G18" s="1066"/>
      <c r="H18" s="1066"/>
      <c r="I18" s="1066"/>
      <c r="J18" s="1155"/>
    </row>
    <row r="19" spans="1:10" s="160" customFormat="1" ht="30.75" customHeight="1">
      <c r="A19" s="162"/>
      <c r="B19" s="1154" t="s">
        <v>1085</v>
      </c>
      <c r="C19" s="1066"/>
      <c r="D19" s="1066"/>
      <c r="E19" s="1066"/>
      <c r="F19" s="1066"/>
      <c r="G19" s="1066"/>
      <c r="H19" s="1066"/>
      <c r="I19" s="1066"/>
      <c r="J19" s="1155"/>
    </row>
    <row r="20" spans="1:10" s="727" customFormat="1" ht="28.5" customHeight="1">
      <c r="A20" s="162"/>
      <c r="B20" s="1154" t="s">
        <v>1578</v>
      </c>
      <c r="C20" s="1066"/>
      <c r="D20" s="1066"/>
      <c r="E20" s="1066"/>
      <c r="F20" s="1066"/>
      <c r="G20" s="1066"/>
      <c r="H20" s="1066"/>
      <c r="I20" s="1066"/>
      <c r="J20" s="1155"/>
    </row>
    <row r="21" spans="1:10" s="733" customFormat="1" ht="25.5" customHeight="1">
      <c r="A21" s="162"/>
      <c r="B21" s="1154"/>
      <c r="C21" s="1066"/>
      <c r="D21" s="1066"/>
      <c r="E21" s="1066"/>
      <c r="F21" s="1066"/>
      <c r="G21" s="1066"/>
      <c r="H21" s="1066"/>
      <c r="I21" s="1066"/>
      <c r="J21" s="1155"/>
    </row>
    <row r="22" spans="1:10" s="160" customFormat="1">
      <c r="A22" s="162"/>
      <c r="B22" s="169"/>
      <c r="C22" s="161"/>
      <c r="D22" s="161"/>
      <c r="E22" s="306"/>
      <c r="F22" s="423"/>
      <c r="G22" s="423"/>
      <c r="H22" s="423"/>
      <c r="I22" s="423"/>
      <c r="J22" s="110"/>
    </row>
    <row r="23" spans="1:10">
      <c r="B23" s="167" t="s">
        <v>495</v>
      </c>
      <c r="C23" s="161"/>
      <c r="D23" s="161"/>
      <c r="E23" s="408" t="s">
        <v>497</v>
      </c>
      <c r="F23" s="423"/>
      <c r="G23" s="423"/>
      <c r="H23" s="423"/>
      <c r="I23" s="423"/>
      <c r="J23" s="110"/>
    </row>
    <row r="24" spans="1:10">
      <c r="B24" s="167" t="s">
        <v>496</v>
      </c>
      <c r="C24" s="161"/>
      <c r="D24" s="161"/>
      <c r="E24" s="408" t="s">
        <v>498</v>
      </c>
      <c r="F24" s="423"/>
      <c r="G24" s="423"/>
      <c r="H24" s="423"/>
      <c r="I24" s="423"/>
      <c r="J24" s="110"/>
    </row>
    <row r="25" spans="1:10" ht="15" thickBot="1">
      <c r="B25" s="54"/>
      <c r="C25" s="170"/>
      <c r="D25" s="170"/>
      <c r="E25" s="343"/>
      <c r="F25" s="343"/>
      <c r="G25" s="343"/>
      <c r="H25" s="343"/>
      <c r="I25" s="343"/>
      <c r="J25" s="344"/>
    </row>
  </sheetData>
  <sheetProtection algorithmName="SHA-512" hashValue="QCQ7lje7OCBY6aue6yFNlqzb4kSH3OkshmQ3DL0MTdCh/Ngk1rRkPqS0+pN7EaXUY+RAhoWZwO/xsIeheVIRZA==" saltValue="vmezBLlFCf5P+WbITeZ6aQ==" spinCount="100000" sheet="1" objects="1" scenarios="1"/>
  <protectedRanges>
    <protectedRange sqref="C10:C16" name="PlantChoices"/>
  </protectedRanges>
  <mergeCells count="5">
    <mergeCell ref="B20:J21"/>
    <mergeCell ref="G8:I8"/>
    <mergeCell ref="B4:J5"/>
    <mergeCell ref="B18:J18"/>
    <mergeCell ref="B19:J19"/>
  </mergeCells>
  <hyperlinks>
    <hyperlink ref="E23" location="'Plants by Category'!A1" display="Plant Salt Tolerance by Category" xr:uid="{00000000-0004-0000-0500-000000000000}"/>
    <hyperlink ref="E24" location="'Plants by Tolerance'!A1" display="Plant Salt Tolerance by Tolerance" xr:uid="{00000000-0004-0000-0500-000001000000}"/>
    <hyperlink ref="F2" location="'Front Page'!A1" display="Return to Front Page" xr:uid="{00000000-0004-0000-0500-000002000000}"/>
  </hyperlinks>
  <pageMargins left="0.23622047244094488" right="0.23622047244094488" top="0.23622047244094488" bottom="0.23622047244094488" header="0.31496062992125984" footer="0.31496062992125984"/>
  <pageSetup paperSize="9" scale="75" orientation="landscape"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'Plants by Category'!$B$31:$B$53</xm:f>
          </x14:formula1>
          <xm:sqref>C11</xm:sqref>
        </x14:dataValidation>
        <x14:dataValidation type="list" allowBlank="1" showInputMessage="1" showErrorMessage="1" xr:uid="{00000000-0002-0000-0500-000001000000}">
          <x14:formula1>
            <xm:f>'Plants by Category'!$B$61:$B$81</xm:f>
          </x14:formula1>
          <xm:sqref>C13</xm:sqref>
        </x14:dataValidation>
        <x14:dataValidation type="list" allowBlank="1" showInputMessage="1" showErrorMessage="1" xr:uid="{00000000-0002-0000-0500-000002000000}">
          <x14:formula1>
            <xm:f>'Plants by Category'!$B$83:$B$131</xm:f>
          </x14:formula1>
          <xm:sqref>C14</xm:sqref>
        </x14:dataValidation>
        <x14:dataValidation type="list" allowBlank="1" showInputMessage="1" showErrorMessage="1" xr:uid="{00000000-0002-0000-0500-000003000000}">
          <x14:formula1>
            <xm:f>'Plants by Category'!$B$133:$B$152</xm:f>
          </x14:formula1>
          <xm:sqref>C15</xm:sqref>
        </x14:dataValidation>
        <x14:dataValidation type="list" allowBlank="1" showInputMessage="1" showErrorMessage="1" xr:uid="{00000000-0002-0000-0500-000004000000}">
          <x14:formula1>
            <xm:f>'Plants by Category'!$B$55:$B$59</xm:f>
          </x14:formula1>
          <xm:sqref>C12</xm:sqref>
        </x14:dataValidation>
        <x14:dataValidation type="list" allowBlank="1" showInputMessage="1" showErrorMessage="1" xr:uid="{00000000-0002-0000-0500-000005000000}">
          <x14:formula1>
            <xm:f>'Plants by Category'!$B$8:$B$29</xm:f>
          </x14:formula1>
          <xm:sqref>C10</xm:sqref>
        </x14:dataValidation>
        <x14:dataValidation type="list" allowBlank="1" showInputMessage="1" showErrorMessage="1" xr:uid="{C36E1169-ECF8-4D1D-A769-3785CA2289D9}">
          <x14:formula1>
            <xm:f>'Plants by Category'!$B$154:$B$158</xm:f>
          </x14:formula1>
          <xm:sqref>C16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0.499984740745262"/>
    <pageSetUpPr fitToPage="1"/>
  </sheetPr>
  <dimension ref="A1:CO85"/>
  <sheetViews>
    <sheetView zoomScale="75" zoomScaleNormal="75" workbookViewId="0">
      <selection activeCell="E12" sqref="E12"/>
    </sheetView>
  </sheetViews>
  <sheetFormatPr defaultRowHeight="14.5"/>
  <cols>
    <col min="1" max="1" width="3.81640625" style="157" customWidth="1"/>
    <col min="2" max="2" width="5.1796875" customWidth="1"/>
    <col min="3" max="3" width="7" customWidth="1"/>
    <col min="4" max="4" width="6" customWidth="1"/>
    <col min="5" max="5" width="7" customWidth="1"/>
    <col min="6" max="6" width="5.453125" customWidth="1"/>
    <col min="7" max="7" width="6.453125" customWidth="1"/>
    <col min="8" max="8" width="6.81640625" customWidth="1"/>
    <col min="9" max="9" width="7" customWidth="1"/>
    <col min="10" max="10" width="6.453125" customWidth="1"/>
    <col min="11" max="11" width="5.1796875" customWidth="1"/>
    <col min="12" max="12" width="4" customWidth="1"/>
    <col min="13" max="13" width="6" customWidth="1"/>
    <col min="14" max="14" width="6.54296875" customWidth="1"/>
    <col min="15" max="15" width="7.90625" customWidth="1"/>
    <col min="16" max="16" width="7.36328125" customWidth="1"/>
    <col min="17" max="17" width="6.453125" customWidth="1"/>
    <col min="18" max="18" width="5.81640625" customWidth="1"/>
    <col min="19" max="19" width="5.1796875" customWidth="1"/>
    <col min="20" max="20" width="5.54296875" customWidth="1"/>
    <col min="21" max="21" width="6.54296875" customWidth="1"/>
    <col min="22" max="22" width="7" customWidth="1"/>
    <col min="23" max="23" width="7.1796875" customWidth="1"/>
    <col min="24" max="24" width="8.1796875" customWidth="1"/>
    <col min="25" max="25" width="5.453125" customWidth="1"/>
    <col min="26" max="28" width="5.1796875" customWidth="1"/>
    <col min="29" max="29" width="7.1796875" customWidth="1"/>
    <col min="30" max="30" width="5.1796875" customWidth="1"/>
    <col min="31" max="31" width="7.1796875" customWidth="1"/>
    <col min="32" max="32" width="5.81640625" customWidth="1"/>
    <col min="33" max="33" width="5.1796875" customWidth="1"/>
    <col min="34" max="34" width="6.1796875" customWidth="1"/>
    <col min="35" max="35" width="9.1796875" customWidth="1"/>
    <col min="36" max="36" width="8.1796875" customWidth="1"/>
    <col min="37" max="37" width="7.453125" customWidth="1"/>
    <col min="38" max="38" width="16.81640625" customWidth="1"/>
    <col min="42" max="42" width="16.81640625" customWidth="1"/>
    <col min="43" max="43" width="13.1796875" customWidth="1"/>
    <col min="44" max="44" width="9.1796875" customWidth="1"/>
    <col min="45" max="45" width="12" customWidth="1"/>
    <col min="46" max="46" width="9.1796875" customWidth="1"/>
    <col min="47" max="47" width="9.1796875" style="59" customWidth="1"/>
    <col min="48" max="48" width="4" style="160" customWidth="1"/>
    <col min="49" max="49" width="5" hidden="1" customWidth="1"/>
    <col min="50" max="51" width="9.1796875" hidden="1" customWidth="1"/>
    <col min="52" max="53" width="16.1796875" hidden="1" customWidth="1"/>
    <col min="54" max="93" width="9.1796875" hidden="1" customWidth="1"/>
  </cols>
  <sheetData>
    <row r="1" spans="1:61" s="157" customFormat="1" ht="15" thickBot="1">
      <c r="C1" s="1162" t="str">
        <f>'Front Page'!C1:D1</f>
        <v>Printed on</v>
      </c>
      <c r="D1" s="1162"/>
      <c r="E1" s="1163">
        <f ca="1">'Front Page'!E1:F1</f>
        <v>44610.35418101852</v>
      </c>
      <c r="F1" s="1163"/>
      <c r="G1" s="447"/>
      <c r="H1" s="447"/>
    </row>
    <row r="2" spans="1:61" s="59" customFormat="1" ht="46.5" customHeight="1">
      <c r="A2" s="157"/>
      <c r="B2" s="186" t="s">
        <v>657</v>
      </c>
      <c r="C2" s="165"/>
      <c r="D2" s="165"/>
      <c r="E2" s="165"/>
      <c r="F2" s="165"/>
      <c r="G2" s="165"/>
      <c r="H2" s="165"/>
      <c r="I2" s="165"/>
      <c r="J2" s="165"/>
      <c r="K2" s="1205" t="str">
        <f>'Front Page'!C5</f>
        <v xml:space="preserve">Version Number </v>
      </c>
      <c r="L2" s="1205"/>
      <c r="M2" s="1205"/>
      <c r="N2" s="1205"/>
      <c r="O2" s="311" t="str">
        <f>'Front Page'!E5</f>
        <v xml:space="preserve">2.2.2a </v>
      </c>
      <c r="P2" s="334"/>
      <c r="Q2" s="334" t="str">
        <f>'Front Page'!F5</f>
        <v xml:space="preserve">    11 February 2022</v>
      </c>
      <c r="R2" s="165"/>
      <c r="S2" s="165"/>
      <c r="T2" s="165"/>
      <c r="U2" s="165"/>
      <c r="V2" s="165"/>
      <c r="W2" s="165"/>
      <c r="X2" s="165"/>
      <c r="Y2" s="165"/>
      <c r="Z2" s="165"/>
      <c r="AA2" s="165"/>
      <c r="AB2" s="165"/>
      <c r="AC2" s="197" t="s">
        <v>911</v>
      </c>
      <c r="AD2" s="165"/>
      <c r="AE2" s="165"/>
      <c r="AF2" s="165"/>
      <c r="AG2" s="165"/>
      <c r="AH2" s="165"/>
      <c r="AI2" s="165"/>
      <c r="AJ2" s="165"/>
      <c r="AK2" s="165"/>
      <c r="AL2" s="165"/>
      <c r="AM2" s="165"/>
      <c r="AN2" s="165"/>
      <c r="AO2" s="165"/>
      <c r="AP2" s="165"/>
      <c r="AQ2" s="165"/>
      <c r="AR2" s="165"/>
      <c r="AS2" s="165"/>
      <c r="AT2" s="165"/>
      <c r="AU2" s="166"/>
      <c r="AV2" s="161"/>
    </row>
    <row r="3" spans="1:61" ht="36" customHeight="1">
      <c r="B3" s="201" t="s">
        <v>863</v>
      </c>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96" t="s">
        <v>654</v>
      </c>
      <c r="AD3" s="161"/>
      <c r="AE3" s="161"/>
      <c r="AF3" s="161"/>
      <c r="AG3" s="161"/>
      <c r="AH3" s="161"/>
      <c r="AI3" s="161"/>
      <c r="AJ3" s="161"/>
      <c r="AK3" s="161"/>
      <c r="AL3" s="161"/>
      <c r="AM3" s="161"/>
      <c r="AN3" s="161"/>
      <c r="AO3" s="161"/>
      <c r="AP3" s="161"/>
      <c r="AQ3" s="161"/>
      <c r="AR3" s="161"/>
      <c r="AS3" s="161"/>
      <c r="AT3" s="161"/>
      <c r="AU3" s="168"/>
      <c r="AV3" s="161"/>
    </row>
    <row r="4" spans="1:61" s="160" customFormat="1" ht="18.5">
      <c r="A4" s="157"/>
      <c r="B4" s="429" t="s">
        <v>933</v>
      </c>
      <c r="C4" s="161"/>
      <c r="D4" s="161"/>
      <c r="E4" s="161"/>
      <c r="F4" s="161"/>
      <c r="G4" s="161"/>
      <c r="H4" s="161"/>
      <c r="I4" s="161"/>
      <c r="J4" s="161"/>
      <c r="K4" s="161"/>
      <c r="L4" s="161"/>
      <c r="M4" s="161"/>
      <c r="N4" s="161"/>
      <c r="O4" s="161"/>
      <c r="P4" s="161"/>
      <c r="Q4" s="161"/>
      <c r="R4" s="161"/>
      <c r="S4" s="161"/>
      <c r="T4" s="161"/>
      <c r="U4" s="161"/>
      <c r="V4" s="161"/>
      <c r="W4" s="161"/>
      <c r="X4" s="161"/>
      <c r="Y4" s="161"/>
      <c r="Z4" s="161"/>
      <c r="AA4" s="161"/>
      <c r="AB4" s="161"/>
      <c r="AC4" s="96"/>
      <c r="AD4" s="161"/>
      <c r="AE4" s="161"/>
      <c r="AF4" s="161"/>
      <c r="AG4" s="161"/>
      <c r="AH4" s="161"/>
      <c r="AI4" s="161"/>
      <c r="AJ4" s="161"/>
      <c r="AK4" s="161"/>
      <c r="AL4" s="161"/>
      <c r="AM4" s="161"/>
      <c r="AN4" s="161"/>
      <c r="AO4" s="161"/>
      <c r="AP4" s="161"/>
      <c r="AQ4" s="161"/>
      <c r="AR4" s="161"/>
      <c r="AS4" s="161"/>
      <c r="AT4" s="161"/>
      <c r="AU4" s="168"/>
      <c r="AV4" s="161"/>
    </row>
    <row r="5" spans="1:61" s="160" customFormat="1" ht="18.5">
      <c r="A5" s="157"/>
      <c r="B5" s="201">
        <v>1</v>
      </c>
      <c r="C5" s="484" t="s">
        <v>932</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96"/>
      <c r="AD5" s="161"/>
      <c r="AE5" s="161"/>
      <c r="AF5" s="161"/>
      <c r="AG5" s="161"/>
      <c r="AH5" s="161"/>
      <c r="AI5" s="161"/>
      <c r="AJ5" s="161"/>
      <c r="AK5" s="161"/>
      <c r="AL5" s="161"/>
      <c r="AM5" s="161"/>
      <c r="AN5" s="161"/>
      <c r="AO5" s="161"/>
      <c r="AP5" s="161"/>
      <c r="AQ5" s="161"/>
      <c r="AR5" s="161"/>
      <c r="AS5" s="161"/>
      <c r="AT5" s="161"/>
      <c r="AU5" s="168"/>
      <c r="AV5" s="161"/>
    </row>
    <row r="6" spans="1:61" s="160" customFormat="1" ht="18.5">
      <c r="A6" s="157"/>
      <c r="B6" s="201">
        <v>2</v>
      </c>
      <c r="C6" s="484" t="s">
        <v>1487</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96"/>
      <c r="AD6" s="161"/>
      <c r="AE6" s="161"/>
      <c r="AF6" s="161"/>
      <c r="AG6" s="161"/>
      <c r="AH6" s="161"/>
      <c r="AI6" s="161"/>
      <c r="AJ6" s="161"/>
      <c r="AK6" s="161"/>
      <c r="AL6" s="161"/>
      <c r="AM6" s="161"/>
      <c r="AN6" s="161"/>
      <c r="AO6" s="161"/>
      <c r="AP6" s="161"/>
      <c r="AQ6" s="161"/>
      <c r="AR6" s="161"/>
      <c r="AS6" s="161"/>
      <c r="AT6" s="161"/>
      <c r="AU6" s="168"/>
      <c r="AV6" s="161"/>
    </row>
    <row r="7" spans="1:61" s="160" customFormat="1" ht="37" customHeight="1">
      <c r="A7" s="157"/>
      <c r="B7" s="426">
        <v>3</v>
      </c>
      <c r="C7" s="484" t="s">
        <v>1488</v>
      </c>
      <c r="D7" s="161"/>
      <c r="E7" s="161"/>
      <c r="F7" s="161"/>
      <c r="G7" s="161"/>
      <c r="H7" s="161"/>
      <c r="I7" s="161"/>
      <c r="J7" s="161"/>
      <c r="K7" s="161"/>
      <c r="L7" s="161"/>
      <c r="M7" s="161"/>
      <c r="N7" s="161"/>
      <c r="O7" s="161"/>
      <c r="P7" s="161"/>
      <c r="Q7" s="161"/>
      <c r="R7" s="161"/>
      <c r="S7" s="161"/>
      <c r="T7" s="1209" t="s">
        <v>1481</v>
      </c>
      <c r="U7" s="1209"/>
      <c r="V7" s="1209"/>
      <c r="W7" s="1209"/>
      <c r="X7" s="634" t="s">
        <v>113</v>
      </c>
      <c r="Y7" s="161"/>
      <c r="Z7" s="161"/>
      <c r="AA7" s="161"/>
      <c r="AB7" s="161"/>
      <c r="AC7" s="96"/>
      <c r="AD7" s="161"/>
      <c r="AE7" s="161"/>
      <c r="AF7" s="161"/>
      <c r="AG7" s="161"/>
      <c r="AH7" s="161"/>
      <c r="AI7" s="161"/>
      <c r="AJ7" s="161"/>
      <c r="AK7" s="161"/>
      <c r="AL7" s="161"/>
      <c r="AM7" s="161"/>
      <c r="AN7" s="161"/>
      <c r="AO7" s="161"/>
      <c r="AP7" s="161"/>
      <c r="AQ7" s="161"/>
      <c r="AR7" s="161"/>
      <c r="AS7" s="161"/>
      <c r="AT7" s="161"/>
      <c r="AU7" s="168"/>
      <c r="AV7" s="161"/>
    </row>
    <row r="8" spans="1:61" ht="18.5">
      <c r="B8" s="188" t="str">
        <f>'Predictive Calculator'!B17</f>
        <v>Site Name/No. &amp; water</v>
      </c>
      <c r="C8" s="161"/>
      <c r="D8" s="161"/>
      <c r="E8" s="161"/>
      <c r="F8" s="161"/>
      <c r="G8" s="161"/>
      <c r="H8" s="161"/>
      <c r="I8" s="161"/>
      <c r="J8" s="161"/>
      <c r="K8" s="161"/>
      <c r="L8" s="161"/>
      <c r="M8" s="161"/>
      <c r="N8" s="161"/>
      <c r="O8" s="161"/>
      <c r="P8" s="194" t="str">
        <f>'Predictive Calculator'!B37</f>
        <v>Site Name/No. &amp; water</v>
      </c>
      <c r="Q8" s="161"/>
      <c r="R8" s="161"/>
      <c r="S8" s="161"/>
      <c r="T8" s="161"/>
      <c r="U8" s="161"/>
      <c r="V8" s="161"/>
      <c r="W8" s="161"/>
      <c r="X8" s="161"/>
      <c r="Y8" s="161"/>
      <c r="Z8" s="161"/>
      <c r="AA8" s="161"/>
      <c r="AB8" s="161"/>
      <c r="AC8" s="161"/>
      <c r="AD8" s="194" t="str">
        <f>'Predictive Calculator'!B57</f>
        <v>Site Name/No. &amp; water</v>
      </c>
      <c r="AE8" s="161"/>
      <c r="AF8" s="161"/>
      <c r="AG8" s="161"/>
      <c r="AH8" s="161"/>
      <c r="AI8" s="161"/>
      <c r="AJ8" s="161"/>
      <c r="AK8" s="161"/>
      <c r="AL8" s="161"/>
      <c r="AM8" s="161"/>
      <c r="AN8" s="161"/>
      <c r="AO8" s="161"/>
      <c r="AP8" s="161"/>
      <c r="AQ8" s="161"/>
      <c r="AR8" s="161"/>
      <c r="AS8" s="161"/>
      <c r="AT8" s="161"/>
      <c r="AU8" s="168"/>
      <c r="AV8" s="161"/>
    </row>
    <row r="9" spans="1:61" s="6" customFormat="1" ht="21" customHeight="1" thickBot="1">
      <c r="A9" s="323"/>
      <c r="B9" s="1207" t="str">
        <f>'Predictive Calculator'!E17</f>
        <v>Vertosol  50</v>
      </c>
      <c r="C9" s="1208"/>
      <c r="D9" s="1208"/>
      <c r="E9" s="1208"/>
      <c r="F9" s="1208"/>
      <c r="G9" s="1208"/>
      <c r="H9" s="1208"/>
      <c r="I9" s="104"/>
      <c r="J9" s="105"/>
      <c r="K9" s="105"/>
      <c r="L9" s="105"/>
      <c r="M9" s="105"/>
      <c r="N9" s="105"/>
      <c r="O9" s="105"/>
      <c r="P9" s="1208" t="str">
        <f>'Predictive Calculator'!E37</f>
        <v>Soil 55</v>
      </c>
      <c r="Q9" s="1208"/>
      <c r="R9" s="1208"/>
      <c r="S9" s="1208"/>
      <c r="T9" s="1208"/>
      <c r="U9" s="1208"/>
      <c r="V9" s="1208"/>
      <c r="W9" s="105"/>
      <c r="X9" s="105"/>
      <c r="Y9" s="105"/>
      <c r="Z9" s="105"/>
      <c r="AA9" s="105"/>
      <c r="AB9" s="105"/>
      <c r="AC9" s="105"/>
      <c r="AD9" s="1208" t="str">
        <f>'Predictive Calculator'!E57</f>
        <v>Vertosol  101</v>
      </c>
      <c r="AE9" s="1208"/>
      <c r="AF9" s="1208"/>
      <c r="AG9" s="1208"/>
      <c r="AH9" s="1208"/>
      <c r="AI9" s="1208"/>
      <c r="AJ9" s="105"/>
      <c r="AK9" s="105"/>
      <c r="AL9" s="105"/>
      <c r="AM9" s="105"/>
      <c r="AN9" s="105"/>
      <c r="AO9" s="105"/>
      <c r="AP9" s="105"/>
      <c r="AQ9" s="105"/>
      <c r="AR9" s="105"/>
      <c r="AS9" s="105"/>
      <c r="AT9" s="105"/>
      <c r="AU9" s="106"/>
      <c r="AV9" s="105"/>
    </row>
    <row r="10" spans="1:61" ht="30" customHeight="1">
      <c r="B10" s="1173" t="str">
        <f>'Predictive Calculator'!B19</f>
        <v>Depth Increment</v>
      </c>
      <c r="C10" s="1174"/>
      <c r="D10" s="251" t="str">
        <f>'Predictive Calculator'!D19</f>
        <v>%</v>
      </c>
      <c r="E10" s="1206" t="str">
        <f>'Predictive Calculator'!E19</f>
        <v>cmolc/kg</v>
      </c>
      <c r="F10" s="1206"/>
      <c r="G10" s="251" t="str">
        <f>'Predictive Calculator'!G19</f>
        <v>%</v>
      </c>
      <c r="H10" s="251" t="str">
        <f>'Predictive Calculator'!H19</f>
        <v>dS/m</v>
      </c>
      <c r="I10" s="251" t="str">
        <f>'Predictive Calculator'!I19</f>
        <v>mg/kg</v>
      </c>
      <c r="J10" s="251" t="str">
        <f>'Predictive Calculator'!J19</f>
        <v>%</v>
      </c>
      <c r="K10" s="1206" t="str">
        <f>'Predictive Calculator'!K19</f>
        <v>%</v>
      </c>
      <c r="L10" s="1206"/>
      <c r="M10" s="251" t="s">
        <v>110</v>
      </c>
      <c r="N10" s="200" t="s">
        <v>110</v>
      </c>
      <c r="O10" s="161"/>
      <c r="P10" s="1173" t="str">
        <f>'Predictive Calculator'!B39</f>
        <v>Depth Increment</v>
      </c>
      <c r="Q10" s="1174"/>
      <c r="R10" s="251" t="str">
        <f>'Predictive Calculator'!D39</f>
        <v>%</v>
      </c>
      <c r="S10" s="1206" t="str">
        <f>'Predictive Calculator'!E39</f>
        <v>cmolc/kg</v>
      </c>
      <c r="T10" s="1206"/>
      <c r="U10" s="251" t="str">
        <f>'Predictive Calculator'!G39</f>
        <v>%</v>
      </c>
      <c r="V10" s="251" t="str">
        <f>'Predictive Calculator'!H39</f>
        <v>dS/m</v>
      </c>
      <c r="W10" s="251" t="str">
        <f>'Predictive Calculator'!I39</f>
        <v>ppm</v>
      </c>
      <c r="X10" s="251" t="str">
        <f>'Predictive Calculator'!J39</f>
        <v>%</v>
      </c>
      <c r="Y10" s="1206" t="str">
        <f>'Predictive Calculator'!K39</f>
        <v>%</v>
      </c>
      <c r="Z10" s="1206"/>
      <c r="AA10" s="251" t="s">
        <v>110</v>
      </c>
      <c r="AB10" s="200" t="s">
        <v>110</v>
      </c>
      <c r="AC10" s="161"/>
      <c r="AD10" s="1173" t="str">
        <f>'Predictive Calculator'!B59</f>
        <v>Depth Increment</v>
      </c>
      <c r="AE10" s="1174"/>
      <c r="AF10" s="251" t="str">
        <f>'Predictive Calculator'!D59</f>
        <v>%</v>
      </c>
      <c r="AG10" s="1206" t="str">
        <f>'Predictive Calculator'!E59</f>
        <v>cmolc/kg</v>
      </c>
      <c r="AH10" s="1206"/>
      <c r="AI10" s="251" t="str">
        <f>'Predictive Calculator'!G59</f>
        <v>%</v>
      </c>
      <c r="AJ10" s="251" t="str">
        <f>'Predictive Calculator'!H59</f>
        <v>dS/m</v>
      </c>
      <c r="AK10" s="251" t="str">
        <f>'Predictive Calculator'!I59</f>
        <v>%</v>
      </c>
      <c r="AL10" s="251" t="str">
        <f>'Predictive Calculator'!J59</f>
        <v>%</v>
      </c>
      <c r="AM10" s="432" t="str">
        <f>'Predictive Calculator'!K59</f>
        <v>%</v>
      </c>
      <c r="AN10" s="251" t="s">
        <v>110</v>
      </c>
      <c r="AO10" s="200" t="s">
        <v>110</v>
      </c>
      <c r="AP10" s="161"/>
      <c r="AQ10" s="161"/>
      <c r="AR10" s="161"/>
      <c r="AS10" s="161"/>
      <c r="AT10" s="161"/>
      <c r="AU10" s="168"/>
      <c r="AV10" s="161"/>
    </row>
    <row r="11" spans="1:61" ht="29">
      <c r="B11" s="433" t="s">
        <v>567</v>
      </c>
      <c r="C11" s="434" t="str">
        <f>'Predictive Calculator'!C20</f>
        <v>Depth (m)</v>
      </c>
      <c r="D11" s="253" t="str">
        <f>'Predictive Calculator'!D20</f>
        <v>Clay</v>
      </c>
      <c r="E11" s="253" t="str">
        <f>'Predictive Calculator'!E20</f>
        <v>CEC</v>
      </c>
      <c r="F11" s="253" t="str">
        <f>'Predictive Calculator'!F20</f>
        <v>Na</v>
      </c>
      <c r="G11" s="253" t="str">
        <f>'Predictive Calculator'!G20</f>
        <v>ESP</v>
      </c>
      <c r="H11" s="253" t="str">
        <f>'Predictive Calculator'!H20</f>
        <v>EC 1:5</v>
      </c>
      <c r="I11" s="253" t="str">
        <f>'Predictive Calculator'!I20</f>
        <v>Cl 1:5</v>
      </c>
      <c r="J11" s="253" t="str">
        <f>'Predictive Calculator'!J20</f>
        <v>ADMC</v>
      </c>
      <c r="K11" s="1035" t="str">
        <f>'Predictive Calculator'!K20</f>
        <v>1500kPa</v>
      </c>
      <c r="L11" s="1035"/>
      <c r="M11" s="435" t="s">
        <v>649</v>
      </c>
      <c r="N11" s="436" t="s">
        <v>650</v>
      </c>
      <c r="O11" s="163"/>
      <c r="P11" s="433" t="s">
        <v>567</v>
      </c>
      <c r="Q11" s="434" t="str">
        <f>'Predictive Calculator'!C40</f>
        <v>Depth (m)</v>
      </c>
      <c r="R11" s="253" t="str">
        <f>'Predictive Calculator'!D40</f>
        <v>Clay</v>
      </c>
      <c r="S11" s="253" t="str">
        <f>'Predictive Calculator'!E40</f>
        <v>CEC</v>
      </c>
      <c r="T11" s="253" t="str">
        <f>'Predictive Calculator'!F40</f>
        <v>Na</v>
      </c>
      <c r="U11" s="253" t="str">
        <f>'Predictive Calculator'!G40</f>
        <v>ESP</v>
      </c>
      <c r="V11" s="253" t="str">
        <f>'Predictive Calculator'!H40</f>
        <v>EC 1:5</v>
      </c>
      <c r="W11" s="253" t="str">
        <f>'Predictive Calculator'!I40</f>
        <v>Cl 1:5</v>
      </c>
      <c r="X11" s="253" t="str">
        <f>'Predictive Calculator'!J40</f>
        <v>ADMC</v>
      </c>
      <c r="Y11" s="1035" t="str">
        <f>'Predictive Calculator'!K40</f>
        <v>1500kPa</v>
      </c>
      <c r="Z11" s="1035"/>
      <c r="AA11" s="435" t="s">
        <v>649</v>
      </c>
      <c r="AB11" s="436" t="s">
        <v>650</v>
      </c>
      <c r="AC11" s="437"/>
      <c r="AD11" s="433" t="s">
        <v>567</v>
      </c>
      <c r="AE11" s="434" t="str">
        <f>'Predictive Calculator'!C60</f>
        <v>Depth (m)</v>
      </c>
      <c r="AF11" s="253" t="str">
        <f>'Predictive Calculator'!D60</f>
        <v>Clay</v>
      </c>
      <c r="AG11" s="253" t="str">
        <f>'Predictive Calculator'!E60</f>
        <v>CEC</v>
      </c>
      <c r="AH11" s="253" t="str">
        <f>'Predictive Calculator'!F60</f>
        <v>Na</v>
      </c>
      <c r="AI11" s="253" t="str">
        <f>'Predictive Calculator'!G60</f>
        <v>ESP</v>
      </c>
      <c r="AJ11" s="253" t="str">
        <f>'Predictive Calculator'!H60</f>
        <v>EC 1:5</v>
      </c>
      <c r="AK11" s="253" t="str">
        <f>'Predictive Calculator'!I60</f>
        <v>Cl 1:5</v>
      </c>
      <c r="AL11" s="253" t="str">
        <f>'Predictive Calculator'!J60</f>
        <v>ADMC</v>
      </c>
      <c r="AM11" s="438" t="str">
        <f>'Predictive Calculator'!K60</f>
        <v>1500kPa</v>
      </c>
      <c r="AN11" s="435" t="s">
        <v>649</v>
      </c>
      <c r="AO11" s="436" t="s">
        <v>650</v>
      </c>
      <c r="AP11" s="161"/>
      <c r="AQ11" s="161"/>
      <c r="AR11" s="161"/>
      <c r="AS11" s="161"/>
      <c r="AT11" s="161"/>
      <c r="AU11" s="168"/>
      <c r="AV11" s="161"/>
      <c r="AX11" s="64" t="s">
        <v>562</v>
      </c>
      <c r="AY11" s="50"/>
      <c r="AZ11" s="50"/>
      <c r="BA11" s="64" t="s">
        <v>563</v>
      </c>
      <c r="BB11" s="50"/>
      <c r="BC11" s="50"/>
      <c r="BD11" s="64" t="s">
        <v>564</v>
      </c>
      <c r="BG11" t="s">
        <v>630</v>
      </c>
      <c r="BH11" t="s">
        <v>630</v>
      </c>
      <c r="BI11" t="s">
        <v>630</v>
      </c>
    </row>
    <row r="12" spans="1:61">
      <c r="B12" s="361">
        <f>'Predictive Calculator'!B21</f>
        <v>1</v>
      </c>
      <c r="C12" s="244">
        <f>IF(ISNUMBER('Predictive Calculator'!C21),'Predictive Calculator'!C21,"")</f>
        <v>0.1</v>
      </c>
      <c r="D12" s="645">
        <f>IF(ISNUMBER('Predictive Calculator'!D21),'Predictive Calculator'!D21,"")</f>
        <v>33</v>
      </c>
      <c r="E12" s="244">
        <f>IF(ISNUMBER('Predictive Calculator'!E21),'Predictive Calculator'!E21,"")</f>
        <v>19.399999999999999</v>
      </c>
      <c r="F12" s="244">
        <f>IF(ISNUMBER('Predictive Calculator'!F21),'Predictive Calculator'!F21,"")</f>
        <v>0.4</v>
      </c>
      <c r="G12" s="244">
        <f>IF(ISNUMBER('Predictive Calculator'!G21),'Predictive Calculator'!G21,"")</f>
        <v>2.4</v>
      </c>
      <c r="H12" s="244">
        <f>IF(ISNUMBER('Predictive Calculator'!H21),'Predictive Calculator'!H21,"")</f>
        <v>3.4000000000000002E-2</v>
      </c>
      <c r="I12" s="244">
        <f>IF(ISNUMBER('Predictive Calculator'!I21),'Predictive Calculator'!I21,"")</f>
        <v>20</v>
      </c>
      <c r="J12" s="244" t="str">
        <f>IF(ISNUMBER('Predictive Calculator'!J21),'Predictive Calculator'!J21,"")</f>
        <v/>
      </c>
      <c r="K12" s="1025">
        <f>IF(ISNUMBER('Predictive Calculator'!K21),'Predictive Calculator'!K21,"")</f>
        <v>13.7</v>
      </c>
      <c r="L12" s="1025" t="str">
        <f>IF(ISNUMBER('Predictive Calculator'!#REF!),'Predictive Calculator'!#REF!,"")</f>
        <v/>
      </c>
      <c r="M12" s="94">
        <v>36</v>
      </c>
      <c r="N12" s="81">
        <v>47</v>
      </c>
      <c r="O12" s="161"/>
      <c r="P12" s="361">
        <f>IF(ISNUMBER('Predictive Calculator'!B41),'Predictive Calculator'!B41,"")</f>
        <v>1</v>
      </c>
      <c r="Q12" s="244">
        <f>IF(ISNUMBER('Predictive Calculator'!C41),'Predictive Calculator'!C41,"")</f>
        <v>0.1</v>
      </c>
      <c r="R12" s="645">
        <f>IF(ISNUMBER('Predictive Calculator'!D41),'Predictive Calculator'!D41,"")</f>
        <v>17</v>
      </c>
      <c r="S12" s="645">
        <f>IF(ISNUMBER('Predictive Calculator'!E41),'Predictive Calculator'!E41,"")</f>
        <v>8</v>
      </c>
      <c r="T12" s="645">
        <f>IF(ISNUMBER('Predictive Calculator'!F41),'Predictive Calculator'!F41,"")</f>
        <v>0.4</v>
      </c>
      <c r="U12" s="645">
        <f>IF(ISNUMBER('Predictive Calculator'!G41),'Predictive Calculator'!G41,"")</f>
        <v>2.4</v>
      </c>
      <c r="V12" s="645">
        <f>IF(ISNUMBER('Predictive Calculator'!H41),'Predictive Calculator'!H41,"")</f>
        <v>3.4000000000000002E-2</v>
      </c>
      <c r="W12" s="645">
        <f>IF(ISNUMBER('Predictive Calculator'!I41),'Predictive Calculator'!I41,"")</f>
        <v>20</v>
      </c>
      <c r="X12" s="645" t="str">
        <f>IF(ISNUMBER('Predictive Calculator'!J41),'Predictive Calculator'!J41,"")</f>
        <v/>
      </c>
      <c r="Y12" s="1025">
        <f>IF(ISNUMBER('Predictive Calculator'!K41),'Predictive Calculator'!K41,"")</f>
        <v>13.7</v>
      </c>
      <c r="Z12" s="1025" t="str">
        <f>IF(ISNUMBER('Predictive Calculator'!#REF!),'Predictive Calculator'!#REF!,"")</f>
        <v/>
      </c>
      <c r="AA12" s="94">
        <v>3</v>
      </c>
      <c r="AB12" s="81">
        <v>18</v>
      </c>
      <c r="AC12" s="161"/>
      <c r="AD12" s="361">
        <f>IF(ISNUMBER('Predictive Calculator'!B61),'Predictive Calculator'!B61,"")</f>
        <v>1</v>
      </c>
      <c r="AE12" s="244">
        <f>IF(ISNUMBER('Predictive Calculator'!C61),'Predictive Calculator'!C61,"")</f>
        <v>0.1</v>
      </c>
      <c r="AF12" s="645">
        <f>IF(ISNUMBER('Predictive Calculator'!D61),'Predictive Calculator'!D61,"")</f>
        <v>30</v>
      </c>
      <c r="AG12" s="645">
        <f>IF(ISNUMBER('Predictive Calculator'!E61),'Predictive Calculator'!E61,"")</f>
        <v>16.899999999999999</v>
      </c>
      <c r="AH12" s="645" t="str">
        <f>IF(ISNUMBER('Predictive Calculator'!F61),'Predictive Calculator'!F61,"")</f>
        <v/>
      </c>
      <c r="AI12" s="645">
        <f>IF(ISNUMBER('Predictive Calculator'!G61),'Predictive Calculator'!G61,"")</f>
        <v>2.6</v>
      </c>
      <c r="AJ12" s="645">
        <f>IF(ISNUMBER('Predictive Calculator'!H61),'Predictive Calculator'!H61,"")</f>
        <v>0.48599999999999999</v>
      </c>
      <c r="AK12" s="645">
        <f>IF(ISNUMBER('Predictive Calculator'!I61),'Predictive Calculator'!I61,"")</f>
        <v>30</v>
      </c>
      <c r="AL12" s="645" t="str">
        <f>IF(ISNUMBER('Predictive Calculator'!J61),'Predictive Calculator'!J61,"")</f>
        <v/>
      </c>
      <c r="AM12" s="268">
        <f>IF(ISNUMBER('Predictive Calculator'!K61),'Predictive Calculator'!K61,"")</f>
        <v>11.6</v>
      </c>
      <c r="AN12" s="94">
        <v>3</v>
      </c>
      <c r="AO12" s="81">
        <v>12</v>
      </c>
      <c r="AP12" s="161"/>
      <c r="AQ12" s="161"/>
      <c r="AR12" s="161"/>
      <c r="AS12" s="161"/>
      <c r="AT12" s="161"/>
      <c r="AU12" s="168"/>
      <c r="AV12" s="161"/>
      <c r="AX12">
        <f>IF(ISNUMBER('Predictive Calculator'!AU21),'Predictive Calculator'!AU21,"")</f>
        <v>2E-3</v>
      </c>
      <c r="AY12" s="59">
        <f>IF(ISNUMBER('Predictive Calculator'!AU41),'Predictive Calculator'!AU41,"")</f>
        <v>2E-3</v>
      </c>
      <c r="AZ12" s="59">
        <f>IF(ISNUMBER('Predictive Calculator'!AU61),'Predictive Calculator'!AU61,"")</f>
        <v>30</v>
      </c>
      <c r="BA12" s="59">
        <f>IF(ISNUMBER('Predictive Calculator'!AV21),'Predictive Calculator'!AV21,"")</f>
        <v>2E-3</v>
      </c>
      <c r="BB12" s="59">
        <f>IF(ISNUMBER('Predictive Calculator'!AV41),'Predictive Calculator'!AV41,"")</f>
        <v>2E-3</v>
      </c>
      <c r="BC12" s="59">
        <f>IF(ISNUMBER('Predictive Calculator'!AV61),'Predictive Calculator'!AV61,"")</f>
        <v>30</v>
      </c>
      <c r="BD12" s="59">
        <f>IF(ISNUMBER('Predictive Calculator'!AW21),'Predictive Calculator'!AW21,"")</f>
        <v>4.25</v>
      </c>
      <c r="BE12" s="59">
        <f>IF(ISNUMBER('Predictive Calculator'!AW41),'Predictive Calculator'!AW41,"")</f>
        <v>2.54</v>
      </c>
      <c r="BF12" s="59">
        <f>IF(ISNUMBER('Predictive Calculator'!AW61),'Predictive Calculator'!AW61,"")</f>
        <v>3.875</v>
      </c>
      <c r="BG12" s="59">
        <f t="shared" ref="BG12:BG20" si="0">IF(AND(ISNUMBER(M12),ISNUMBER(N12)),SUM(M12:N12),"")</f>
        <v>83</v>
      </c>
      <c r="BH12">
        <f t="shared" ref="BH12:BH23" si="1">IF(AND(ISNUMBER(AA12),ISNUMBER(AB12)),SUM(AA12:AB12),"")</f>
        <v>21</v>
      </c>
      <c r="BI12" s="59">
        <f t="shared" ref="BI12:BI20" si="2">IF(AND(ISNUMBER(AN12),ISNUMBER(AO12)),SUM(AN12:AO12),"")</f>
        <v>15</v>
      </c>
    </row>
    <row r="13" spans="1:61">
      <c r="B13" s="361">
        <f>'Predictive Calculator'!B22</f>
        <v>2</v>
      </c>
      <c r="C13" s="244">
        <f>IF(ISNUMBER('Predictive Calculator'!C22),'Predictive Calculator'!C22,"")</f>
        <v>0.2</v>
      </c>
      <c r="D13" s="244">
        <f>IF(ISNUMBER('Predictive Calculator'!D22),'Predictive Calculator'!D22,"")</f>
        <v>36</v>
      </c>
      <c r="E13" s="244">
        <f>IF(ISNUMBER('Predictive Calculator'!E22),'Predictive Calculator'!E22,"")</f>
        <v>20.2</v>
      </c>
      <c r="F13" s="244">
        <f>IF(ISNUMBER('Predictive Calculator'!F22),'Predictive Calculator'!F22,"")</f>
        <v>0.4</v>
      </c>
      <c r="G13" s="244">
        <f>IF(ISNUMBER('Predictive Calculator'!G22),'Predictive Calculator'!G22,"")</f>
        <v>1.8</v>
      </c>
      <c r="H13" s="244">
        <f>IF(ISNUMBER('Predictive Calculator'!H22),'Predictive Calculator'!H22,"")</f>
        <v>2.9000000000000001E-2</v>
      </c>
      <c r="I13" s="244">
        <f>IF(ISNUMBER('Predictive Calculator'!I22),'Predictive Calculator'!I22,"")</f>
        <v>10</v>
      </c>
      <c r="J13" s="244" t="str">
        <f>IF(ISNUMBER('Predictive Calculator'!J22),'Predictive Calculator'!J22,"")</f>
        <v/>
      </c>
      <c r="K13" s="1025">
        <f>IF(ISNUMBER('Predictive Calculator'!K22),'Predictive Calculator'!K22,"")</f>
        <v>14.4</v>
      </c>
      <c r="L13" s="1025" t="str">
        <f>IF(ISNUMBER('Predictive Calculator'!#REF!),'Predictive Calculator'!#REF!,"")</f>
        <v/>
      </c>
      <c r="M13" s="94">
        <v>37</v>
      </c>
      <c r="N13" s="81">
        <v>47</v>
      </c>
      <c r="O13" s="161"/>
      <c r="P13" s="361">
        <f>IF(ISNUMBER('Predictive Calculator'!B42),'Predictive Calculator'!B42,"")</f>
        <v>2</v>
      </c>
      <c r="Q13" s="244">
        <f>IF(ISNUMBER('Predictive Calculator'!C42),'Predictive Calculator'!C42,"")</f>
        <v>0.2</v>
      </c>
      <c r="R13" s="244">
        <f>IF(ISNUMBER('Predictive Calculator'!D42),'Predictive Calculator'!D42,"")</f>
        <v>17</v>
      </c>
      <c r="S13" s="244">
        <f>IF(ISNUMBER('Predictive Calculator'!E42),'Predictive Calculator'!E42,"")</f>
        <v>8</v>
      </c>
      <c r="T13" s="244">
        <f>IF(ISNUMBER('Predictive Calculator'!F42),'Predictive Calculator'!F42,"")</f>
        <v>0.4</v>
      </c>
      <c r="U13" s="244">
        <f>IF(ISNUMBER('Predictive Calculator'!G42),'Predictive Calculator'!G42,"")</f>
        <v>1.8</v>
      </c>
      <c r="V13" s="244">
        <f>IF(ISNUMBER('Predictive Calculator'!H42),'Predictive Calculator'!H42,"")</f>
        <v>2.9000000000000001E-2</v>
      </c>
      <c r="W13" s="244">
        <f>IF(ISNUMBER('Predictive Calculator'!I42),'Predictive Calculator'!I42,"")</f>
        <v>10</v>
      </c>
      <c r="X13" s="244" t="str">
        <f>IF(ISNUMBER('Predictive Calculator'!J42),'Predictive Calculator'!J42,"")</f>
        <v/>
      </c>
      <c r="Y13" s="1025">
        <f>IF(ISNUMBER('Predictive Calculator'!K42),'Predictive Calculator'!K42,"")</f>
        <v>14.4</v>
      </c>
      <c r="Z13" s="1025" t="str">
        <f>IF(ISNUMBER('Predictive Calculator'!#REF!),'Predictive Calculator'!#REF!,"")</f>
        <v/>
      </c>
      <c r="AA13" s="94">
        <v>3</v>
      </c>
      <c r="AB13" s="81">
        <v>17</v>
      </c>
      <c r="AC13" s="161"/>
      <c r="AD13" s="361">
        <f>IF(ISNUMBER('Predictive Calculator'!B62),'Predictive Calculator'!B62,"")</f>
        <v>2</v>
      </c>
      <c r="AE13" s="244">
        <f>IF(ISNUMBER('Predictive Calculator'!C62),'Predictive Calculator'!C62,"")</f>
        <v>0.2</v>
      </c>
      <c r="AF13" s="244">
        <f>IF(ISNUMBER('Predictive Calculator'!D62),'Predictive Calculator'!D62,"")</f>
        <v>50</v>
      </c>
      <c r="AG13" s="244">
        <f>IF(ISNUMBER('Predictive Calculator'!E62),'Predictive Calculator'!E62,"")</f>
        <v>26.5</v>
      </c>
      <c r="AH13" s="244" t="str">
        <f>IF(ISNUMBER('Predictive Calculator'!F62),'Predictive Calculator'!F62,"")</f>
        <v/>
      </c>
      <c r="AI13" s="244">
        <f>IF(ISNUMBER('Predictive Calculator'!G62),'Predictive Calculator'!G62,"")</f>
        <v>6</v>
      </c>
      <c r="AJ13" s="244">
        <f>IF(ISNUMBER('Predictive Calculator'!H62),'Predictive Calculator'!H62,"")</f>
        <v>0.13800000000000001</v>
      </c>
      <c r="AK13" s="244">
        <f>IF(ISNUMBER('Predictive Calculator'!I62),'Predictive Calculator'!I62,"")</f>
        <v>80</v>
      </c>
      <c r="AL13" s="244" t="str">
        <f>IF(ISNUMBER('Predictive Calculator'!J62),'Predictive Calculator'!J62,"")</f>
        <v/>
      </c>
      <c r="AM13" s="268">
        <f>IF(ISNUMBER('Predictive Calculator'!K62),'Predictive Calculator'!K62,"")</f>
        <v>17.3</v>
      </c>
      <c r="AN13" s="94">
        <v>3</v>
      </c>
      <c r="AO13" s="81">
        <v>12</v>
      </c>
      <c r="AP13" s="161"/>
      <c r="AQ13" s="161"/>
      <c r="AR13" s="161"/>
      <c r="AS13" s="161"/>
      <c r="AT13" s="161"/>
      <c r="AU13" s="168"/>
      <c r="AV13" s="161"/>
      <c r="AX13" s="59">
        <f>IF(ISNUMBER('Predictive Calculator'!AU22),'Predictive Calculator'!AU22,"")</f>
        <v>1E-3</v>
      </c>
      <c r="AY13" s="59">
        <f>IF(ISNUMBER('Predictive Calculator'!AU42),'Predictive Calculator'!AU42,"")</f>
        <v>1E-3</v>
      </c>
      <c r="AZ13" s="59">
        <f>IF(ISNUMBER('Predictive Calculator'!AU62),'Predictive Calculator'!AU62,"")</f>
        <v>80</v>
      </c>
      <c r="BA13" s="59">
        <f>IF(ISNUMBER('Predictive Calculator'!AV22),'Predictive Calculator'!AV22,"")</f>
        <v>1E-3</v>
      </c>
      <c r="BB13" s="59">
        <f>IF(ISNUMBER('Predictive Calculator'!AV42),'Predictive Calculator'!AV42,"")</f>
        <v>1E-3</v>
      </c>
      <c r="BC13" s="59">
        <f>IF(ISNUMBER('Predictive Calculator'!AV62),'Predictive Calculator'!AV62,"")</f>
        <v>80</v>
      </c>
      <c r="BD13" s="59">
        <f>IF(ISNUMBER('Predictive Calculator'!AW22),'Predictive Calculator'!AW22,"")</f>
        <v>4.37</v>
      </c>
      <c r="BE13" s="59">
        <f>IF(ISNUMBER('Predictive Calculator'!AW42),'Predictive Calculator'!AW42,"")</f>
        <v>2.54</v>
      </c>
      <c r="BF13" s="59">
        <f>IF(ISNUMBER('Predictive Calculator'!AW62),'Predictive Calculator'!AW62,"")</f>
        <v>5.3149999999999995</v>
      </c>
      <c r="BG13" s="59">
        <f t="shared" si="0"/>
        <v>84</v>
      </c>
      <c r="BH13" s="59">
        <f t="shared" si="1"/>
        <v>20</v>
      </c>
      <c r="BI13" s="59">
        <f t="shared" si="2"/>
        <v>15</v>
      </c>
    </row>
    <row r="14" spans="1:61">
      <c r="B14" s="361">
        <f>'Predictive Calculator'!B23</f>
        <v>3</v>
      </c>
      <c r="C14" s="244">
        <f>IF(ISNUMBER('Predictive Calculator'!C23),'Predictive Calculator'!C23,"")</f>
        <v>0.3</v>
      </c>
      <c r="D14" s="244">
        <f>IF(ISNUMBER('Predictive Calculator'!D23),'Predictive Calculator'!D23,"")</f>
        <v>36</v>
      </c>
      <c r="E14" s="244">
        <f>IF(ISNUMBER('Predictive Calculator'!E23),'Predictive Calculator'!E23,"")</f>
        <v>22.2</v>
      </c>
      <c r="F14" s="244">
        <f>IF(ISNUMBER('Predictive Calculator'!F23),'Predictive Calculator'!F23,"")</f>
        <v>0.4</v>
      </c>
      <c r="G14" s="244">
        <f>IF(ISNUMBER('Predictive Calculator'!G23),'Predictive Calculator'!G23,"")</f>
        <v>1.6</v>
      </c>
      <c r="H14" s="244">
        <f>IF(ISNUMBER('Predictive Calculator'!H23),'Predictive Calculator'!H23,"")</f>
        <v>0.04</v>
      </c>
      <c r="I14" s="244">
        <f>IF(ISNUMBER('Predictive Calculator'!I23),'Predictive Calculator'!I23,"")</f>
        <v>20</v>
      </c>
      <c r="J14" s="244" t="str">
        <f>IF(ISNUMBER('Predictive Calculator'!J23),'Predictive Calculator'!J23,"")</f>
        <v/>
      </c>
      <c r="K14" s="1025">
        <f>IF(ISNUMBER('Predictive Calculator'!K23),'Predictive Calculator'!K23,"")</f>
        <v>14.9</v>
      </c>
      <c r="L14" s="1025" t="str">
        <f>IF(ISNUMBER('Predictive Calculator'!#REF!),'Predictive Calculator'!#REF!,"")</f>
        <v/>
      </c>
      <c r="M14" s="94">
        <v>30</v>
      </c>
      <c r="N14" s="81">
        <v>33</v>
      </c>
      <c r="O14" s="161"/>
      <c r="P14" s="361">
        <f>IF(ISNUMBER('Predictive Calculator'!B43),'Predictive Calculator'!B43,"")</f>
        <v>3</v>
      </c>
      <c r="Q14" s="244">
        <f>IF(ISNUMBER('Predictive Calculator'!C43),'Predictive Calculator'!C43,"")</f>
        <v>0.3</v>
      </c>
      <c r="R14" s="244">
        <f>IF(ISNUMBER('Predictive Calculator'!D43),'Predictive Calculator'!D43,"")</f>
        <v>17</v>
      </c>
      <c r="S14" s="244">
        <f>IF(ISNUMBER('Predictive Calculator'!E43),'Predictive Calculator'!E43,"")</f>
        <v>8</v>
      </c>
      <c r="T14" s="244">
        <f>IF(ISNUMBER('Predictive Calculator'!F43),'Predictive Calculator'!F43,"")</f>
        <v>0.4</v>
      </c>
      <c r="U14" s="244">
        <f>IF(ISNUMBER('Predictive Calculator'!G43),'Predictive Calculator'!G43,"")</f>
        <v>1.6</v>
      </c>
      <c r="V14" s="244">
        <f>IF(ISNUMBER('Predictive Calculator'!H43),'Predictive Calculator'!H43,"")</f>
        <v>0.04</v>
      </c>
      <c r="W14" s="244">
        <f>IF(ISNUMBER('Predictive Calculator'!I43),'Predictive Calculator'!I43,"")</f>
        <v>20</v>
      </c>
      <c r="X14" s="244" t="str">
        <f>IF(ISNUMBER('Predictive Calculator'!J43),'Predictive Calculator'!J43,"")</f>
        <v/>
      </c>
      <c r="Y14" s="1025">
        <f>IF(ISNUMBER('Predictive Calculator'!K43),'Predictive Calculator'!K43,"")</f>
        <v>14.9</v>
      </c>
      <c r="Z14" s="1025" t="str">
        <f>IF(ISNUMBER('Predictive Calculator'!#REF!),'Predictive Calculator'!#REF!,"")</f>
        <v/>
      </c>
      <c r="AA14" s="94">
        <v>2</v>
      </c>
      <c r="AB14" s="81">
        <v>17</v>
      </c>
      <c r="AC14" s="161"/>
      <c r="AD14" s="361">
        <f>IF(ISNUMBER('Predictive Calculator'!B63),'Predictive Calculator'!B63,"")</f>
        <v>3</v>
      </c>
      <c r="AE14" s="244">
        <f>IF(ISNUMBER('Predictive Calculator'!C63),'Predictive Calculator'!C63,"")</f>
        <v>0.3</v>
      </c>
      <c r="AF14" s="244">
        <f>IF(ISNUMBER('Predictive Calculator'!D63),'Predictive Calculator'!D63,"")</f>
        <v>48</v>
      </c>
      <c r="AG14" s="244">
        <f>IF(ISNUMBER('Predictive Calculator'!E63),'Predictive Calculator'!E63,"")</f>
        <v>29.7</v>
      </c>
      <c r="AH14" s="244" t="str">
        <f>IF(ISNUMBER('Predictive Calculator'!F63),'Predictive Calculator'!F63,"")</f>
        <v/>
      </c>
      <c r="AI14" s="244">
        <f>IF(ISNUMBER('Predictive Calculator'!G63),'Predictive Calculator'!G63,"")</f>
        <v>7.8</v>
      </c>
      <c r="AJ14" s="244">
        <f>IF(ISNUMBER('Predictive Calculator'!H63),'Predictive Calculator'!H63,"")</f>
        <v>0.39400000000000002</v>
      </c>
      <c r="AK14" s="244">
        <f>IF(ISNUMBER('Predictive Calculator'!I63),'Predictive Calculator'!I63,"")</f>
        <v>340</v>
      </c>
      <c r="AL14" s="244" t="str">
        <f>IF(ISNUMBER('Predictive Calculator'!J63),'Predictive Calculator'!J63,"")</f>
        <v/>
      </c>
      <c r="AM14" s="268">
        <f>IF(ISNUMBER('Predictive Calculator'!K63),'Predictive Calculator'!K63,"")</f>
        <v>17.2</v>
      </c>
      <c r="AN14" s="94">
        <v>3</v>
      </c>
      <c r="AO14" s="81">
        <v>12</v>
      </c>
      <c r="AP14" s="161"/>
      <c r="AQ14" s="161"/>
      <c r="AR14" s="161"/>
      <c r="AS14" s="161"/>
      <c r="AT14" s="161"/>
      <c r="AU14" s="168"/>
      <c r="AV14" s="161"/>
      <c r="AX14" s="59">
        <f>IF(ISNUMBER('Predictive Calculator'!AU23),'Predictive Calculator'!AU23,"")</f>
        <v>2E-3</v>
      </c>
      <c r="AY14" s="59">
        <f>IF(ISNUMBER('Predictive Calculator'!AU43),'Predictive Calculator'!AU43,"")</f>
        <v>2E-3</v>
      </c>
      <c r="AZ14" s="59">
        <f>IF(ISNUMBER('Predictive Calculator'!AU63),'Predictive Calculator'!AU63,"")</f>
        <v>340</v>
      </c>
      <c r="BA14" s="59">
        <f>IF(ISNUMBER('Predictive Calculator'!AV23),'Predictive Calculator'!AV23,"")</f>
        <v>2E-3</v>
      </c>
      <c r="BB14" s="59">
        <f>IF(ISNUMBER('Predictive Calculator'!AV43),'Predictive Calculator'!AV43,"")</f>
        <v>2E-3</v>
      </c>
      <c r="BC14" s="59">
        <f>IF(ISNUMBER('Predictive Calculator'!AV63),'Predictive Calculator'!AV63,"")</f>
        <v>340</v>
      </c>
      <c r="BD14" s="59">
        <f>IF(ISNUMBER('Predictive Calculator'!AW23),'Predictive Calculator'!AW23,"")</f>
        <v>4.67</v>
      </c>
      <c r="BE14" s="59">
        <f>IF(ISNUMBER('Predictive Calculator'!AW43),'Predictive Calculator'!AW43,"")</f>
        <v>2.54</v>
      </c>
      <c r="BF14" s="59">
        <f>IF(ISNUMBER('Predictive Calculator'!AW63),'Predictive Calculator'!AW63,"")</f>
        <v>5.7949999999999999</v>
      </c>
      <c r="BG14" s="59">
        <f t="shared" si="0"/>
        <v>63</v>
      </c>
      <c r="BH14" s="59">
        <f t="shared" si="1"/>
        <v>19</v>
      </c>
      <c r="BI14" s="59">
        <f t="shared" si="2"/>
        <v>15</v>
      </c>
    </row>
    <row r="15" spans="1:61">
      <c r="B15" s="361">
        <f>'Predictive Calculator'!B24</f>
        <v>4</v>
      </c>
      <c r="C15" s="244">
        <f>IF(ISNUMBER('Predictive Calculator'!C24),'Predictive Calculator'!C24,"")</f>
        <v>0.6</v>
      </c>
      <c r="D15" s="244">
        <f>IF(ISNUMBER('Predictive Calculator'!D24),'Predictive Calculator'!D24,"")</f>
        <v>31</v>
      </c>
      <c r="E15" s="244">
        <f>IF(ISNUMBER('Predictive Calculator'!E24),'Predictive Calculator'!E24,"")</f>
        <v>34.5</v>
      </c>
      <c r="F15" s="244">
        <f>IF(ISNUMBER('Predictive Calculator'!F24),'Predictive Calculator'!F24,"")</f>
        <v>0.5</v>
      </c>
      <c r="G15" s="244">
        <f>IF(ISNUMBER('Predictive Calculator'!G24),'Predictive Calculator'!G24,"")</f>
        <v>1.5</v>
      </c>
      <c r="H15" s="244">
        <f>IF(ISNUMBER('Predictive Calculator'!H24),'Predictive Calculator'!H24,"")</f>
        <v>0.17699999999999999</v>
      </c>
      <c r="I15" s="244">
        <f>IF(ISNUMBER('Predictive Calculator'!I24),'Predictive Calculator'!I24,"")</f>
        <v>60</v>
      </c>
      <c r="J15" s="244" t="str">
        <f>IF(ISNUMBER('Predictive Calculator'!J24),'Predictive Calculator'!J24,"")</f>
        <v/>
      </c>
      <c r="K15" s="1025">
        <f>IF(ISNUMBER('Predictive Calculator'!K24),'Predictive Calculator'!K24,"")</f>
        <v>13.6</v>
      </c>
      <c r="L15" s="1025" t="str">
        <f>IF(ISNUMBER('Predictive Calculator'!#REF!),'Predictive Calculator'!#REF!,"")</f>
        <v/>
      </c>
      <c r="M15" s="94">
        <v>27</v>
      </c>
      <c r="N15" s="81">
        <v>36</v>
      </c>
      <c r="O15" s="161"/>
      <c r="P15" s="361">
        <f>IF(ISNUMBER('Predictive Calculator'!B44),'Predictive Calculator'!B44,"")</f>
        <v>4</v>
      </c>
      <c r="Q15" s="244">
        <f>IF(ISNUMBER('Predictive Calculator'!C44),'Predictive Calculator'!C44,"")</f>
        <v>0.6</v>
      </c>
      <c r="R15" s="244">
        <f>IF(ISNUMBER('Predictive Calculator'!D44),'Predictive Calculator'!D44,"")</f>
        <v>17</v>
      </c>
      <c r="S15" s="244">
        <f>IF(ISNUMBER('Predictive Calculator'!E44),'Predictive Calculator'!E44,"")</f>
        <v>8</v>
      </c>
      <c r="T15" s="244">
        <f>IF(ISNUMBER('Predictive Calculator'!F44),'Predictive Calculator'!F44,"")</f>
        <v>0.5</v>
      </c>
      <c r="U15" s="244">
        <f>IF(ISNUMBER('Predictive Calculator'!G44),'Predictive Calculator'!G44,"")</f>
        <v>1.5</v>
      </c>
      <c r="V15" s="244">
        <f>IF(ISNUMBER('Predictive Calculator'!H44),'Predictive Calculator'!H44,"")</f>
        <v>0.17699999999999999</v>
      </c>
      <c r="W15" s="244">
        <f>IF(ISNUMBER('Predictive Calculator'!I44),'Predictive Calculator'!I44,"")</f>
        <v>60</v>
      </c>
      <c r="X15" s="244" t="str">
        <f>IF(ISNUMBER('Predictive Calculator'!J44),'Predictive Calculator'!J44,"")</f>
        <v/>
      </c>
      <c r="Y15" s="1025">
        <f>IF(ISNUMBER('Predictive Calculator'!K44),'Predictive Calculator'!K44,"")</f>
        <v>13.6</v>
      </c>
      <c r="Z15" s="1025" t="str">
        <f>IF(ISNUMBER('Predictive Calculator'!#REF!),'Predictive Calculator'!#REF!,"")</f>
        <v/>
      </c>
      <c r="AA15" s="94">
        <v>2</v>
      </c>
      <c r="AB15" s="81">
        <v>17</v>
      </c>
      <c r="AC15" s="161"/>
      <c r="AD15" s="361">
        <f>IF(ISNUMBER('Predictive Calculator'!B64),'Predictive Calculator'!B64,"")</f>
        <v>4</v>
      </c>
      <c r="AE15" s="244">
        <f>IF(ISNUMBER('Predictive Calculator'!C64),'Predictive Calculator'!C64,"")</f>
        <v>0.6</v>
      </c>
      <c r="AF15" s="244">
        <f>IF(ISNUMBER('Predictive Calculator'!D64),'Predictive Calculator'!D64,"")</f>
        <v>47</v>
      </c>
      <c r="AG15" s="244">
        <f>IF(ISNUMBER('Predictive Calculator'!E64),'Predictive Calculator'!E64,"")</f>
        <v>42.7</v>
      </c>
      <c r="AH15" s="244" t="str">
        <f>IF(ISNUMBER('Predictive Calculator'!F64),'Predictive Calculator'!F64,"")</f>
        <v/>
      </c>
      <c r="AI15" s="244">
        <f>IF(ISNUMBER('Predictive Calculator'!G64),'Predictive Calculator'!G64,"")</f>
        <v>6.9</v>
      </c>
      <c r="AJ15" s="244">
        <f>IF(ISNUMBER('Predictive Calculator'!H64),'Predictive Calculator'!H64,"")</f>
        <v>1.22</v>
      </c>
      <c r="AK15" s="244">
        <f>IF(ISNUMBER('Predictive Calculator'!I64),'Predictive Calculator'!I64,"")</f>
        <v>2060</v>
      </c>
      <c r="AL15" s="244" t="str">
        <f>IF(ISNUMBER('Predictive Calculator'!J64),'Predictive Calculator'!J64,"")</f>
        <v/>
      </c>
      <c r="AM15" s="268">
        <f>IF(ISNUMBER('Predictive Calculator'!K64),'Predictive Calculator'!K64,"")</f>
        <v>16.2</v>
      </c>
      <c r="AN15" s="94">
        <v>3</v>
      </c>
      <c r="AO15" s="81">
        <v>12</v>
      </c>
      <c r="AP15" s="161"/>
      <c r="AQ15" s="161"/>
      <c r="AR15" s="161"/>
      <c r="AS15" s="161"/>
      <c r="AT15" s="161"/>
      <c r="AU15" s="168"/>
      <c r="AV15" s="161"/>
      <c r="AX15" s="59">
        <f>IF(ISNUMBER('Predictive Calculator'!AU24),'Predictive Calculator'!AU24,"")</f>
        <v>6.0000000000000001E-3</v>
      </c>
      <c r="AY15" s="59">
        <f>IF(ISNUMBER('Predictive Calculator'!AU44),'Predictive Calculator'!AU44,"")</f>
        <v>6.0000000000000001E-3</v>
      </c>
      <c r="AZ15" s="59">
        <f>IF(ISNUMBER('Predictive Calculator'!AU64),'Predictive Calculator'!AU64,"")</f>
        <v>2060</v>
      </c>
      <c r="BA15" s="59">
        <f>IF(ISNUMBER('Predictive Calculator'!AV24),'Predictive Calculator'!AV24,"")</f>
        <v>6.0000000000000001E-3</v>
      </c>
      <c r="BB15" s="59">
        <f>IF(ISNUMBER('Predictive Calculator'!AV44),'Predictive Calculator'!AV44,"")</f>
        <v>6.0000000000000001E-3</v>
      </c>
      <c r="BC15" s="59">
        <f>IF(ISNUMBER('Predictive Calculator'!AV64),'Predictive Calculator'!AV64,"")</f>
        <v>2060</v>
      </c>
      <c r="BD15" s="59">
        <f>IF(ISNUMBER('Predictive Calculator'!AW24),'Predictive Calculator'!AW24,"")</f>
        <v>6.5149999999999997</v>
      </c>
      <c r="BE15" s="59">
        <f>IF(ISNUMBER('Predictive Calculator'!AW44),'Predictive Calculator'!AW44,"")</f>
        <v>2.54</v>
      </c>
      <c r="BF15" s="59">
        <f>IF(ISNUMBER('Predictive Calculator'!AW64),'Predictive Calculator'!AW64,"")</f>
        <v>7.7450000000000001</v>
      </c>
      <c r="BG15" s="59">
        <f t="shared" si="0"/>
        <v>63</v>
      </c>
      <c r="BH15" s="59">
        <f t="shared" si="1"/>
        <v>19</v>
      </c>
      <c r="BI15" s="59">
        <f t="shared" si="2"/>
        <v>15</v>
      </c>
    </row>
    <row r="16" spans="1:61">
      <c r="B16" s="361">
        <f>'Predictive Calculator'!B25</f>
        <v>5</v>
      </c>
      <c r="C16" s="244">
        <f>IF(ISNUMBER('Predictive Calculator'!C25),'Predictive Calculator'!C25,"")</f>
        <v>0.9</v>
      </c>
      <c r="D16" s="244">
        <f>IF(ISNUMBER('Predictive Calculator'!D25),'Predictive Calculator'!D25,"")</f>
        <v>30</v>
      </c>
      <c r="E16" s="244">
        <f>IF(ISNUMBER('Predictive Calculator'!E25),'Predictive Calculator'!E25,"")</f>
        <v>37.4</v>
      </c>
      <c r="F16" s="244">
        <f>IF(ISNUMBER('Predictive Calculator'!F25),'Predictive Calculator'!F25,"")</f>
        <v>1.2</v>
      </c>
      <c r="G16" s="244">
        <f>IF(ISNUMBER('Predictive Calculator'!G25),'Predictive Calculator'!G25,"")</f>
        <v>7</v>
      </c>
      <c r="H16" s="244">
        <f>IF(ISNUMBER('Predictive Calculator'!H25),'Predictive Calculator'!H25,"")</f>
        <v>0.20200000000000001</v>
      </c>
      <c r="I16" s="244">
        <f>IF(ISNUMBER('Predictive Calculator'!I25),'Predictive Calculator'!I25,"")</f>
        <v>20</v>
      </c>
      <c r="J16" s="244" t="str">
        <f>IF(ISNUMBER('Predictive Calculator'!J25),'Predictive Calculator'!J25,"")</f>
        <v/>
      </c>
      <c r="K16" s="1025">
        <f>IF(ISNUMBER('Predictive Calculator'!K25),'Predictive Calculator'!K25,"")</f>
        <v>13.2</v>
      </c>
      <c r="L16" s="1025" t="str">
        <f>IF(ISNUMBER('Predictive Calculator'!L33),'Predictive Calculator'!L33,"")</f>
        <v/>
      </c>
      <c r="M16" s="94">
        <v>29</v>
      </c>
      <c r="N16" s="81">
        <v>37</v>
      </c>
      <c r="O16" s="161"/>
      <c r="P16" s="361">
        <f>IF(ISNUMBER('Predictive Calculator'!B45),'Predictive Calculator'!B45,"")</f>
        <v>5</v>
      </c>
      <c r="Q16" s="244">
        <f>IF(ISNUMBER('Predictive Calculator'!C45),'Predictive Calculator'!C45,"")</f>
        <v>0.9</v>
      </c>
      <c r="R16" s="244">
        <f>IF(ISNUMBER('Predictive Calculator'!D45),'Predictive Calculator'!D45,"")</f>
        <v>17</v>
      </c>
      <c r="S16" s="244">
        <f>IF(ISNUMBER('Predictive Calculator'!E45),'Predictive Calculator'!E45,"")</f>
        <v>8</v>
      </c>
      <c r="T16" s="244">
        <f>IF(ISNUMBER('Predictive Calculator'!F45),'Predictive Calculator'!F45,"")</f>
        <v>10</v>
      </c>
      <c r="U16" s="244">
        <f>IF(ISNUMBER('Predictive Calculator'!G45),'Predictive Calculator'!G45,"")</f>
        <v>5</v>
      </c>
      <c r="V16" s="244">
        <f>IF(ISNUMBER('Predictive Calculator'!H45),'Predictive Calculator'!H45,"")</f>
        <v>0.20200000000000001</v>
      </c>
      <c r="W16" s="244">
        <f>IF(ISNUMBER('Predictive Calculator'!I45),'Predictive Calculator'!I45,"")</f>
        <v>20</v>
      </c>
      <c r="X16" s="244" t="str">
        <f>IF(ISNUMBER('Predictive Calculator'!J45),'Predictive Calculator'!J45,"")</f>
        <v/>
      </c>
      <c r="Y16" s="1025">
        <f>IF(ISNUMBER('Predictive Calculator'!K45),'Predictive Calculator'!K45,"")</f>
        <v>13.2</v>
      </c>
      <c r="Z16" s="1025" t="str">
        <f>IF(ISNUMBER('Predictive Calculator'!#REF!),'Predictive Calculator'!#REF!,"")</f>
        <v/>
      </c>
      <c r="AA16" s="94">
        <v>2</v>
      </c>
      <c r="AB16" s="81">
        <v>16</v>
      </c>
      <c r="AC16" s="161"/>
      <c r="AD16" s="361">
        <f>IF(ISNUMBER('Predictive Calculator'!B65),'Predictive Calculator'!B65,"")</f>
        <v>5</v>
      </c>
      <c r="AE16" s="645">
        <f>IF(ISNUMBER('Predictive Calculator'!C65),'Predictive Calculator'!C65,"")</f>
        <v>0.9</v>
      </c>
      <c r="AF16" s="244">
        <f>IF(ISNUMBER('Predictive Calculator'!D65),'Predictive Calculator'!D65,"")</f>
        <v>43</v>
      </c>
      <c r="AG16" s="244">
        <f>IF(ISNUMBER('Predictive Calculator'!E65),'Predictive Calculator'!E65,"")</f>
        <v>22</v>
      </c>
      <c r="AH16" s="244" t="str">
        <f>IF(ISNUMBER('Predictive Calculator'!F65),'Predictive Calculator'!F65,"")</f>
        <v/>
      </c>
      <c r="AI16" s="244">
        <f>IF(ISNUMBER('Predictive Calculator'!G65),'Predictive Calculator'!G65,"")</f>
        <v>8</v>
      </c>
      <c r="AJ16" s="244">
        <f>IF(ISNUMBER('Predictive Calculator'!H65),'Predictive Calculator'!H65,"")</f>
        <v>1.1200000000000001</v>
      </c>
      <c r="AK16" s="244">
        <f>IF(ISNUMBER('Predictive Calculator'!I65),'Predictive Calculator'!I65,"")</f>
        <v>1770</v>
      </c>
      <c r="AL16" s="244" t="str">
        <f>IF(ISNUMBER('Predictive Calculator'!J65),'Predictive Calculator'!J65,"")</f>
        <v/>
      </c>
      <c r="AM16" s="268">
        <f>IF(ISNUMBER('Predictive Calculator'!K65),'Predictive Calculator'!K65,"")</f>
        <v>15.6</v>
      </c>
      <c r="AN16" s="94">
        <v>3</v>
      </c>
      <c r="AO16" s="81">
        <v>12</v>
      </c>
      <c r="AP16" s="161"/>
      <c r="AQ16" s="161"/>
      <c r="AR16" s="161"/>
      <c r="AS16" s="161"/>
      <c r="AT16" s="161"/>
      <c r="AU16" s="168"/>
      <c r="AV16" s="161"/>
      <c r="AX16" s="59">
        <f>IF(ISNUMBER('Predictive Calculator'!AU25),'Predictive Calculator'!AU25,"")</f>
        <v>2E-3</v>
      </c>
      <c r="AY16" s="59">
        <f>IF(ISNUMBER('Predictive Calculator'!AU45),'Predictive Calculator'!AU45,"")</f>
        <v>2E-3</v>
      </c>
      <c r="AZ16" s="59">
        <f>IF(ISNUMBER('Predictive Calculator'!AU65),'Predictive Calculator'!AU65,"")</f>
        <v>1770</v>
      </c>
      <c r="BA16" s="59">
        <f>IF(ISNUMBER('Predictive Calculator'!AV25),'Predictive Calculator'!AV25,"")</f>
        <v>2E-3</v>
      </c>
      <c r="BB16" s="59">
        <f>IF(ISNUMBER('Predictive Calculator'!AV45),'Predictive Calculator'!AV45,"")</f>
        <v>2E-3</v>
      </c>
      <c r="BC16" s="59">
        <f>IF(ISNUMBER('Predictive Calculator'!AV65),'Predictive Calculator'!AV65,"")</f>
        <v>1770</v>
      </c>
      <c r="BD16" s="59">
        <f>IF(ISNUMBER('Predictive Calculator'!AW25),'Predictive Calculator'!AW25,"")</f>
        <v>6.9499999999999993</v>
      </c>
      <c r="BE16" s="59">
        <f>IF(ISNUMBER('Predictive Calculator'!AW45),'Predictive Calculator'!AW45,"")</f>
        <v>2.54</v>
      </c>
      <c r="BF16" s="59">
        <f>IF(ISNUMBER('Predictive Calculator'!AW65),'Predictive Calculator'!AW65,"")</f>
        <v>4.6399999999999997</v>
      </c>
      <c r="BG16" s="59">
        <f t="shared" si="0"/>
        <v>66</v>
      </c>
      <c r="BH16" s="59">
        <f t="shared" si="1"/>
        <v>18</v>
      </c>
      <c r="BI16" s="59">
        <f t="shared" si="2"/>
        <v>15</v>
      </c>
    </row>
    <row r="17" spans="1:91">
      <c r="B17" s="361">
        <f>'Predictive Calculator'!B26</f>
        <v>6</v>
      </c>
      <c r="C17" s="244">
        <f>IF(ISNUMBER('Predictive Calculator'!C26),'Predictive Calculator'!C26,"")</f>
        <v>1.2</v>
      </c>
      <c r="D17" s="244">
        <f>IF(ISNUMBER('Predictive Calculator'!D26),'Predictive Calculator'!D26,"")</f>
        <v>24</v>
      </c>
      <c r="E17" s="244">
        <f>IF(ISNUMBER('Predictive Calculator'!E26),'Predictive Calculator'!E26,"")</f>
        <v>31.5</v>
      </c>
      <c r="F17" s="244" t="str">
        <f>IF(ISNUMBER('Predictive Calculator'!F26),'Predictive Calculator'!F26,"")</f>
        <v/>
      </c>
      <c r="G17" s="244">
        <f>IF(ISNUMBER('Predictive Calculator'!G26),'Predictive Calculator'!G26,"")</f>
        <v>5</v>
      </c>
      <c r="H17" s="244">
        <f>IF(ISNUMBER('Predictive Calculator'!H26),'Predictive Calculator'!H26,"")</f>
        <v>0.104</v>
      </c>
      <c r="I17" s="244">
        <f>IF(ISNUMBER('Predictive Calculator'!I26),'Predictive Calculator'!I26,"")</f>
        <v>10</v>
      </c>
      <c r="J17" s="244" t="str">
        <f>IF(ISNUMBER('Predictive Calculator'!J26),'Predictive Calculator'!J26,"")</f>
        <v/>
      </c>
      <c r="K17" s="1025">
        <f>IF(ISNUMBER('Predictive Calculator'!K26),'Predictive Calculator'!K26,"")</f>
        <v>13.4</v>
      </c>
      <c r="L17" s="1025" t="str">
        <f>IF(ISNUMBER('Predictive Calculator'!#REF!),'Predictive Calculator'!#REF!,"")</f>
        <v/>
      </c>
      <c r="M17" s="94">
        <v>28</v>
      </c>
      <c r="N17" s="81">
        <v>38</v>
      </c>
      <c r="O17" s="161"/>
      <c r="P17" s="361">
        <f>IF(ISNUMBER('Predictive Calculator'!B46),'Predictive Calculator'!B46,"")</f>
        <v>6</v>
      </c>
      <c r="Q17" s="244">
        <f>IF(ISNUMBER('Predictive Calculator'!C46),'Predictive Calculator'!C46,"")</f>
        <v>1.2</v>
      </c>
      <c r="R17" s="244">
        <f>IF(ISNUMBER('Predictive Calculator'!D46),'Predictive Calculator'!D46,"")</f>
        <v>17</v>
      </c>
      <c r="S17" s="244">
        <f>IF(ISNUMBER('Predictive Calculator'!E46),'Predictive Calculator'!E46,"")</f>
        <v>8</v>
      </c>
      <c r="T17" s="244" t="str">
        <f>IF(ISNUMBER('Predictive Calculator'!F46),'Predictive Calculator'!F46,"")</f>
        <v/>
      </c>
      <c r="U17" s="244">
        <f>IF(ISNUMBER('Predictive Calculator'!G46),'Predictive Calculator'!G46,"")</f>
        <v>9.8000000000000007</v>
      </c>
      <c r="V17" s="244">
        <f>IF(ISNUMBER('Predictive Calculator'!H46),'Predictive Calculator'!H46,"")</f>
        <v>0.104</v>
      </c>
      <c r="W17" s="244">
        <f>IF(ISNUMBER('Predictive Calculator'!I46),'Predictive Calculator'!I46,"")</f>
        <v>10</v>
      </c>
      <c r="X17" s="244" t="str">
        <f>IF(ISNUMBER('Predictive Calculator'!J46),'Predictive Calculator'!J46,"")</f>
        <v/>
      </c>
      <c r="Y17" s="1025">
        <f>IF(ISNUMBER('Predictive Calculator'!K46),'Predictive Calculator'!K46,"")</f>
        <v>13.4</v>
      </c>
      <c r="Z17" s="1025" t="str">
        <f>IF(ISNUMBER('Predictive Calculator'!W34),'Predictive Calculator'!W34,"")</f>
        <v/>
      </c>
      <c r="AA17" s="94">
        <v>10</v>
      </c>
      <c r="AB17" s="81">
        <v>17</v>
      </c>
      <c r="AC17" s="161"/>
      <c r="AD17" s="361">
        <f>IF(ISNUMBER('Predictive Calculator'!B66),'Predictive Calculator'!B66,"")</f>
        <v>6</v>
      </c>
      <c r="AE17" s="645" t="str">
        <f>IF(ISNUMBER('Predictive Calculator'!C66),'Predictive Calculator'!C66,"")</f>
        <v/>
      </c>
      <c r="AF17" s="244" t="str">
        <f>IF(ISNUMBER('Predictive Calculator'!D66),'Predictive Calculator'!D66,"")</f>
        <v/>
      </c>
      <c r="AG17" s="244" t="str">
        <f>IF(ISNUMBER('Predictive Calculator'!E66),'Predictive Calculator'!E66,"")</f>
        <v/>
      </c>
      <c r="AH17" s="244" t="str">
        <f>IF(ISNUMBER('Predictive Calculator'!F66),'Predictive Calculator'!F66,"")</f>
        <v/>
      </c>
      <c r="AI17" s="244" t="str">
        <f>IF(ISNUMBER('Predictive Calculator'!G66),'Predictive Calculator'!G66,"")</f>
        <v/>
      </c>
      <c r="AJ17" s="244" t="str">
        <f>IF(ISNUMBER('Predictive Calculator'!H66),'Predictive Calculator'!H66,"")</f>
        <v/>
      </c>
      <c r="AK17" s="244" t="str">
        <f>IF(ISNUMBER('Predictive Calculator'!I66),'Predictive Calculator'!I66,"")</f>
        <v/>
      </c>
      <c r="AL17" s="244" t="str">
        <f>IF(ISNUMBER('Predictive Calculator'!J66),'Predictive Calculator'!J66,"")</f>
        <v/>
      </c>
      <c r="AM17" s="268" t="str">
        <f>IF(ISNUMBER('Predictive Calculator'!K66),'Predictive Calculator'!K66,"")</f>
        <v/>
      </c>
      <c r="AN17" s="94"/>
      <c r="AO17" s="81"/>
      <c r="AP17" s="161"/>
      <c r="AQ17" s="161"/>
      <c r="AR17" s="161"/>
      <c r="AS17" s="161"/>
      <c r="AT17" s="161"/>
      <c r="AU17" s="168"/>
      <c r="AV17" s="161"/>
      <c r="AX17" s="59">
        <f>IF(ISNUMBER('Predictive Calculator'!AU26),'Predictive Calculator'!AU26,"")</f>
        <v>1E-3</v>
      </c>
      <c r="AY17" s="59">
        <f>IF(ISNUMBER('Predictive Calculator'!AU46),'Predictive Calculator'!AU46,"")</f>
        <v>1E-3</v>
      </c>
      <c r="AZ17" s="59">
        <f>IF(ISNUMBER('Predictive Calculator'!AU66),'Predictive Calculator'!AU66,"")</f>
        <v>0</v>
      </c>
      <c r="BA17" s="59">
        <f>IF(ISNUMBER('Predictive Calculator'!AV26),'Predictive Calculator'!AV26,"")</f>
        <v>1E-3</v>
      </c>
      <c r="BB17" s="59">
        <f>IF(ISNUMBER('Predictive Calculator'!AV46),'Predictive Calculator'!AV46,"")</f>
        <v>1E-3</v>
      </c>
      <c r="BC17" s="59" t="str">
        <f>IF(ISNUMBER('Predictive Calculator'!AV66),'Predictive Calculator'!AV66,"")</f>
        <v/>
      </c>
      <c r="BD17" s="59">
        <f>IF(ISNUMBER('Predictive Calculator'!AW26),'Predictive Calculator'!AW26,"")</f>
        <v>6.0649999999999995</v>
      </c>
      <c r="BE17" s="59">
        <f>IF(ISNUMBER('Predictive Calculator'!AW46),'Predictive Calculator'!AW46,"")</f>
        <v>2.54</v>
      </c>
      <c r="BF17" s="59" t="str">
        <f>IF(ISNUMBER('Predictive Calculator'!AW66),'Predictive Calculator'!AW66,"")</f>
        <v/>
      </c>
      <c r="BG17" s="59">
        <f t="shared" si="0"/>
        <v>66</v>
      </c>
      <c r="BH17" s="59">
        <f t="shared" si="1"/>
        <v>27</v>
      </c>
      <c r="BI17" s="59" t="str">
        <f t="shared" si="2"/>
        <v/>
      </c>
    </row>
    <row r="18" spans="1:91">
      <c r="B18" s="361">
        <f>'Predictive Calculator'!B27</f>
        <v>7</v>
      </c>
      <c r="C18" s="244" t="str">
        <f>IF(ISNUMBER('Predictive Calculator'!C27),'Predictive Calculator'!C27,"")</f>
        <v/>
      </c>
      <c r="D18" s="244" t="str">
        <f>IF(ISNUMBER('Predictive Calculator'!D27),'Predictive Calculator'!D27,"")</f>
        <v/>
      </c>
      <c r="E18" s="244" t="str">
        <f>IF(ISNUMBER('Predictive Calculator'!E27),'Predictive Calculator'!E27,"")</f>
        <v/>
      </c>
      <c r="F18" s="244" t="str">
        <f>IF(ISNUMBER('Predictive Calculator'!F27),'Predictive Calculator'!F27,"")</f>
        <v/>
      </c>
      <c r="G18" s="244" t="str">
        <f>IF(ISNUMBER('Predictive Calculator'!G27),'Predictive Calculator'!G27,"")</f>
        <v/>
      </c>
      <c r="H18" s="244" t="str">
        <f>IF(ISNUMBER('Predictive Calculator'!H27),'Predictive Calculator'!H27,"")</f>
        <v/>
      </c>
      <c r="I18" s="244" t="str">
        <f>IF(ISNUMBER('Predictive Calculator'!I27),'Predictive Calculator'!I27,"")</f>
        <v/>
      </c>
      <c r="J18" s="244" t="str">
        <f>IF(ISNUMBER('Predictive Calculator'!J27),'Predictive Calculator'!J27,"")</f>
        <v/>
      </c>
      <c r="K18" s="1025" t="str">
        <f>IF(ISNUMBER('Predictive Calculator'!K27),'Predictive Calculator'!K27,"")</f>
        <v/>
      </c>
      <c r="L18" s="1025" t="str">
        <f>IF(ISNUMBER('Predictive Calculator'!#REF!),'Predictive Calculator'!#REF!,"")</f>
        <v/>
      </c>
      <c r="M18" s="94">
        <v>27</v>
      </c>
      <c r="N18" s="81">
        <v>36</v>
      </c>
      <c r="O18" s="161"/>
      <c r="P18" s="361">
        <f>IF(ISNUMBER('Predictive Calculator'!B47),'Predictive Calculator'!B47,"")</f>
        <v>7</v>
      </c>
      <c r="Q18" s="244" t="str">
        <f>IF(ISNUMBER('Predictive Calculator'!C47),'Predictive Calculator'!C47,"")</f>
        <v/>
      </c>
      <c r="R18" s="244" t="str">
        <f>IF(ISNUMBER('Predictive Calculator'!D47),'Predictive Calculator'!D47,"")</f>
        <v/>
      </c>
      <c r="S18" s="244" t="str">
        <f>IF(ISNUMBER('Predictive Calculator'!E47),'Predictive Calculator'!E47,"")</f>
        <v/>
      </c>
      <c r="T18" s="244" t="str">
        <f>IF(ISNUMBER('Predictive Calculator'!F47),'Predictive Calculator'!F47,"")</f>
        <v/>
      </c>
      <c r="U18" s="244" t="str">
        <f>IF(ISNUMBER('Predictive Calculator'!G47),'Predictive Calculator'!G47,"")</f>
        <v/>
      </c>
      <c r="V18" s="244" t="str">
        <f>IF(ISNUMBER('Predictive Calculator'!H47),'Predictive Calculator'!H47,"")</f>
        <v/>
      </c>
      <c r="W18" s="244" t="str">
        <f>IF(ISNUMBER('Predictive Calculator'!I47),'Predictive Calculator'!I47,"")</f>
        <v/>
      </c>
      <c r="X18" s="244" t="str">
        <f>IF(ISNUMBER('Predictive Calculator'!J47),'Predictive Calculator'!J47,"")</f>
        <v/>
      </c>
      <c r="Y18" s="1025" t="str">
        <f>IF(ISNUMBER('Predictive Calculator'!K47),'Predictive Calculator'!K47,"")</f>
        <v/>
      </c>
      <c r="Z18" s="1025" t="str">
        <f>IF(ISNUMBER('Predictive Calculator'!W35),'Predictive Calculator'!W35,"")</f>
        <v/>
      </c>
      <c r="AA18" s="94">
        <v>19</v>
      </c>
      <c r="AB18" s="81">
        <v>28</v>
      </c>
      <c r="AC18" s="161"/>
      <c r="AD18" s="361">
        <f>IF(ISNUMBER('Predictive Calculator'!B67),'Predictive Calculator'!B67,"")</f>
        <v>7</v>
      </c>
      <c r="AE18" s="645" t="str">
        <f>IF(ISNUMBER('Predictive Calculator'!C67),'Predictive Calculator'!C67,"")</f>
        <v/>
      </c>
      <c r="AF18" s="244" t="str">
        <f>IF(ISNUMBER('Predictive Calculator'!D67),'Predictive Calculator'!D67,"")</f>
        <v/>
      </c>
      <c r="AG18" s="244" t="str">
        <f>IF(ISNUMBER('Predictive Calculator'!E67),'Predictive Calculator'!E67,"")</f>
        <v/>
      </c>
      <c r="AH18" s="244" t="str">
        <f>IF(ISNUMBER('Predictive Calculator'!F67),'Predictive Calculator'!F67,"")</f>
        <v/>
      </c>
      <c r="AI18" s="244" t="str">
        <f>IF(ISNUMBER('Predictive Calculator'!G67),'Predictive Calculator'!G67,"")</f>
        <v/>
      </c>
      <c r="AJ18" s="244" t="str">
        <f>IF(ISNUMBER('Predictive Calculator'!H67),'Predictive Calculator'!H67,"")</f>
        <v/>
      </c>
      <c r="AK18" s="244" t="str">
        <f>IF(ISNUMBER('Predictive Calculator'!I67),'Predictive Calculator'!I67,"")</f>
        <v/>
      </c>
      <c r="AL18" s="244" t="str">
        <f>IF(ISNUMBER('Predictive Calculator'!J67),'Predictive Calculator'!J67,"")</f>
        <v/>
      </c>
      <c r="AM18" s="268" t="str">
        <f>IF(ISNUMBER('Predictive Calculator'!K67),'Predictive Calculator'!K67,"")</f>
        <v/>
      </c>
      <c r="AN18" s="94"/>
      <c r="AO18" s="81"/>
      <c r="AP18" s="161"/>
      <c r="AQ18" s="161"/>
      <c r="AR18" s="161"/>
      <c r="AS18" s="161"/>
      <c r="AT18" s="161"/>
      <c r="AU18" s="168"/>
      <c r="AV18" s="161"/>
      <c r="AX18" s="59">
        <f>IF(ISNUMBER('Predictive Calculator'!AU27),'Predictive Calculator'!AU27,"")</f>
        <v>0</v>
      </c>
      <c r="AY18" s="59">
        <f>IF(ISNUMBER('Predictive Calculator'!AU47),'Predictive Calculator'!AU47,"")</f>
        <v>0</v>
      </c>
      <c r="AZ18" s="59">
        <f>IF(ISNUMBER('Predictive Calculator'!AU67),'Predictive Calculator'!AU67,"")</f>
        <v>0</v>
      </c>
      <c r="BA18" s="59" t="str">
        <f>IF(ISNUMBER('Predictive Calculator'!AV27),'Predictive Calculator'!AV27,"")</f>
        <v/>
      </c>
      <c r="BB18" s="59" t="str">
        <f>IF(ISNUMBER('Predictive Calculator'!AV47),'Predictive Calculator'!AV47,"")</f>
        <v/>
      </c>
      <c r="BC18" s="59" t="str">
        <f>IF(ISNUMBER('Predictive Calculator'!AV67),'Predictive Calculator'!AV67,"")</f>
        <v/>
      </c>
      <c r="BD18" s="59" t="str">
        <f>IF(ISNUMBER('Predictive Calculator'!AW27),'Predictive Calculator'!AW27,"")</f>
        <v/>
      </c>
      <c r="BE18" s="59" t="str">
        <f>IF(ISNUMBER('Predictive Calculator'!AW47),'Predictive Calculator'!AW47,"")</f>
        <v/>
      </c>
      <c r="BF18" s="59" t="str">
        <f>IF(ISNUMBER('Predictive Calculator'!AW67),'Predictive Calculator'!AW67,"")</f>
        <v/>
      </c>
      <c r="BG18" s="59">
        <f t="shared" si="0"/>
        <v>63</v>
      </c>
      <c r="BH18" s="59">
        <f t="shared" si="1"/>
        <v>47</v>
      </c>
      <c r="BI18" s="59" t="str">
        <f t="shared" si="2"/>
        <v/>
      </c>
    </row>
    <row r="19" spans="1:91">
      <c r="B19" s="361">
        <f>'Predictive Calculator'!B28</f>
        <v>8</v>
      </c>
      <c r="C19" s="244" t="str">
        <f>IF(ISNUMBER('Predictive Calculator'!C28),'Predictive Calculator'!C28,"")</f>
        <v/>
      </c>
      <c r="D19" s="244" t="str">
        <f>IF(ISNUMBER('Predictive Calculator'!D28),'Predictive Calculator'!D28,"")</f>
        <v/>
      </c>
      <c r="E19" s="244" t="str">
        <f>IF(ISNUMBER('Predictive Calculator'!E28),'Predictive Calculator'!E28,"")</f>
        <v/>
      </c>
      <c r="F19" s="244" t="str">
        <f>IF(ISNUMBER('Predictive Calculator'!F28),'Predictive Calculator'!F28,"")</f>
        <v/>
      </c>
      <c r="G19" s="244" t="str">
        <f>IF(ISNUMBER('Predictive Calculator'!G28),'Predictive Calculator'!G28,"")</f>
        <v/>
      </c>
      <c r="H19" s="244" t="str">
        <f>IF(ISNUMBER('Predictive Calculator'!H28),'Predictive Calculator'!H28,"")</f>
        <v/>
      </c>
      <c r="I19" s="244" t="str">
        <f>IF(ISNUMBER('Predictive Calculator'!I28),'Predictive Calculator'!I28,"")</f>
        <v/>
      </c>
      <c r="J19" s="244" t="str">
        <f>IF(ISNUMBER('Predictive Calculator'!J28),'Predictive Calculator'!J28,"")</f>
        <v/>
      </c>
      <c r="K19" s="1025" t="str">
        <f>IF(ISNUMBER('Predictive Calculator'!K28),'Predictive Calculator'!K28,"")</f>
        <v/>
      </c>
      <c r="L19" s="1025" t="str">
        <f>IF(ISNUMBER('Predictive Calculator'!#REF!),'Predictive Calculator'!#REF!,"")</f>
        <v/>
      </c>
      <c r="M19" s="94">
        <v>25</v>
      </c>
      <c r="N19" s="81">
        <v>35</v>
      </c>
      <c r="O19" s="161"/>
      <c r="P19" s="361">
        <f>IF(ISNUMBER('Predictive Calculator'!B48),'Predictive Calculator'!B48,"")</f>
        <v>8</v>
      </c>
      <c r="Q19" s="244" t="str">
        <f>IF(ISNUMBER('Predictive Calculator'!C48),'Predictive Calculator'!C48,"")</f>
        <v/>
      </c>
      <c r="R19" s="244" t="str">
        <f>IF(ISNUMBER('Predictive Calculator'!D48),'Predictive Calculator'!D48,"")</f>
        <v/>
      </c>
      <c r="S19" s="244" t="str">
        <f>IF(ISNUMBER('Predictive Calculator'!E48),'Predictive Calculator'!E48,"")</f>
        <v/>
      </c>
      <c r="T19" s="244" t="str">
        <f>IF(ISNUMBER('Predictive Calculator'!F48),'Predictive Calculator'!F48,"")</f>
        <v/>
      </c>
      <c r="U19" s="244" t="str">
        <f>IF(ISNUMBER('Predictive Calculator'!G48),'Predictive Calculator'!G48,"")</f>
        <v/>
      </c>
      <c r="V19" s="244" t="str">
        <f>IF(ISNUMBER('Predictive Calculator'!H48),'Predictive Calculator'!H48,"")</f>
        <v/>
      </c>
      <c r="W19" s="244" t="str">
        <f>IF(ISNUMBER('Predictive Calculator'!I48),'Predictive Calculator'!I48,"")</f>
        <v/>
      </c>
      <c r="X19" s="244" t="str">
        <f>IF(ISNUMBER('Predictive Calculator'!J48),'Predictive Calculator'!J48,"")</f>
        <v/>
      </c>
      <c r="Y19" s="1025" t="str">
        <f>IF(ISNUMBER('Predictive Calculator'!K48),'Predictive Calculator'!K48,"")</f>
        <v/>
      </c>
      <c r="Z19" s="1025" t="str">
        <f>IF(ISNUMBER('Predictive Calculator'!#REF!),'Predictive Calculator'!#REF!,"")</f>
        <v/>
      </c>
      <c r="AA19" s="94"/>
      <c r="AB19" s="81"/>
      <c r="AC19" s="161"/>
      <c r="AD19" s="361">
        <f>IF(ISNUMBER('Predictive Calculator'!B68),'Predictive Calculator'!B68,"")</f>
        <v>8</v>
      </c>
      <c r="AE19" s="645" t="str">
        <f>IF(ISNUMBER('Predictive Calculator'!C68),'Predictive Calculator'!C68,"")</f>
        <v/>
      </c>
      <c r="AF19" s="244" t="str">
        <f>IF(ISNUMBER('Predictive Calculator'!D68),'Predictive Calculator'!D68,"")</f>
        <v/>
      </c>
      <c r="AG19" s="244" t="str">
        <f>IF(ISNUMBER('Predictive Calculator'!E68),'Predictive Calculator'!E68,"")</f>
        <v/>
      </c>
      <c r="AH19" s="244" t="str">
        <f>IF(ISNUMBER('Predictive Calculator'!F68),'Predictive Calculator'!F68,"")</f>
        <v/>
      </c>
      <c r="AI19" s="244" t="str">
        <f>IF(ISNUMBER('Predictive Calculator'!G68),'Predictive Calculator'!G68,"")</f>
        <v/>
      </c>
      <c r="AJ19" s="244" t="str">
        <f>IF(ISNUMBER('Predictive Calculator'!H68),'Predictive Calculator'!H68,"")</f>
        <v/>
      </c>
      <c r="AK19" s="244" t="str">
        <f>IF(ISNUMBER('Predictive Calculator'!I68),'Predictive Calculator'!I68,"")</f>
        <v/>
      </c>
      <c r="AL19" s="244" t="str">
        <f>IF(ISNUMBER('Predictive Calculator'!J68),'Predictive Calculator'!J68,"")</f>
        <v/>
      </c>
      <c r="AM19" s="268" t="str">
        <f>IF(ISNUMBER('Predictive Calculator'!K68),'Predictive Calculator'!K68,"")</f>
        <v/>
      </c>
      <c r="AN19" s="94"/>
      <c r="AO19" s="81"/>
      <c r="AP19" s="161"/>
      <c r="AQ19" s="161"/>
      <c r="AR19" s="161"/>
      <c r="AS19" s="161"/>
      <c r="AT19" s="161"/>
      <c r="AU19" s="168"/>
      <c r="AV19" s="161"/>
      <c r="AX19" s="59">
        <f>IF(ISNUMBER('Predictive Calculator'!AU28),'Predictive Calculator'!AU28,"")</f>
        <v>0</v>
      </c>
      <c r="AY19" s="59">
        <f>IF(ISNUMBER('Predictive Calculator'!AU48),'Predictive Calculator'!AU48,"")</f>
        <v>0</v>
      </c>
      <c r="AZ19" s="59">
        <f>IF(ISNUMBER('Predictive Calculator'!AU68),'Predictive Calculator'!AU68,"")</f>
        <v>0</v>
      </c>
      <c r="BA19" s="59" t="str">
        <f>IF(ISNUMBER('Predictive Calculator'!AV28),'Predictive Calculator'!AV28,"")</f>
        <v/>
      </c>
      <c r="BB19" s="59" t="str">
        <f>IF(ISNUMBER('Predictive Calculator'!AV48),'Predictive Calculator'!AV48,"")</f>
        <v/>
      </c>
      <c r="BC19" s="59" t="str">
        <f>IF(ISNUMBER('Predictive Calculator'!AV68),'Predictive Calculator'!AV68,"")</f>
        <v/>
      </c>
      <c r="BD19" s="59" t="str">
        <f>IF(ISNUMBER('Predictive Calculator'!AW28),'Predictive Calculator'!AW28,"")</f>
        <v/>
      </c>
      <c r="BE19" s="59" t="str">
        <f>IF(ISNUMBER('Predictive Calculator'!AW48),'Predictive Calculator'!AW48,"")</f>
        <v/>
      </c>
      <c r="BF19" s="59" t="str">
        <f>IF(ISNUMBER('Predictive Calculator'!AW68),'Predictive Calculator'!AW68,"")</f>
        <v/>
      </c>
      <c r="BG19" s="59">
        <f t="shared" si="0"/>
        <v>60</v>
      </c>
      <c r="BH19" s="59" t="str">
        <f t="shared" si="1"/>
        <v/>
      </c>
      <c r="BI19" s="59" t="str">
        <f t="shared" si="2"/>
        <v/>
      </c>
    </row>
    <row r="20" spans="1:91">
      <c r="B20" s="361">
        <f>'Predictive Calculator'!B29</f>
        <v>9</v>
      </c>
      <c r="C20" s="244" t="str">
        <f>IF(ISNUMBER('Predictive Calculator'!C29),'Predictive Calculator'!C29,"")</f>
        <v/>
      </c>
      <c r="D20" s="244" t="str">
        <f>IF(ISNUMBER('Predictive Calculator'!D29),'Predictive Calculator'!D29,"")</f>
        <v/>
      </c>
      <c r="E20" s="244" t="str">
        <f>IF(ISNUMBER('Predictive Calculator'!E29),'Predictive Calculator'!E29,"")</f>
        <v/>
      </c>
      <c r="F20" s="244" t="str">
        <f>IF(ISNUMBER('Predictive Calculator'!F29),'Predictive Calculator'!F29,"")</f>
        <v/>
      </c>
      <c r="G20" s="244" t="str">
        <f>IF(ISNUMBER('Predictive Calculator'!G29),'Predictive Calculator'!G29,"")</f>
        <v/>
      </c>
      <c r="H20" s="244" t="str">
        <f>IF(ISNUMBER('Predictive Calculator'!H29),'Predictive Calculator'!H29,"")</f>
        <v/>
      </c>
      <c r="I20" s="244" t="str">
        <f>IF(ISNUMBER('Predictive Calculator'!I29),'Predictive Calculator'!I29,"")</f>
        <v/>
      </c>
      <c r="J20" s="244" t="str">
        <f>IF(ISNUMBER('Predictive Calculator'!J29),'Predictive Calculator'!J29,"")</f>
        <v/>
      </c>
      <c r="K20" s="1025" t="str">
        <f>IF(ISNUMBER('Predictive Calculator'!K29),'Predictive Calculator'!K29,"")</f>
        <v/>
      </c>
      <c r="L20" s="1025" t="str">
        <f>IF(ISNUMBER('Predictive Calculator'!#REF!),'Predictive Calculator'!#REF!,"")</f>
        <v/>
      </c>
      <c r="M20" s="94">
        <v>22</v>
      </c>
      <c r="N20" s="81">
        <v>34</v>
      </c>
      <c r="O20" s="161"/>
      <c r="P20" s="361">
        <f>IF(ISNUMBER('Predictive Calculator'!B49),'Predictive Calculator'!B49,"")</f>
        <v>9</v>
      </c>
      <c r="Q20" s="645" t="str">
        <f>IF(ISNUMBER('Predictive Calculator'!C49),'Predictive Calculator'!C49,"")</f>
        <v/>
      </c>
      <c r="R20" s="244" t="str">
        <f>IF(ISNUMBER('Predictive Calculator'!D49),'Predictive Calculator'!D49,"")</f>
        <v/>
      </c>
      <c r="S20" s="244" t="str">
        <f>IF(ISNUMBER('Predictive Calculator'!E49),'Predictive Calculator'!E49,"")</f>
        <v/>
      </c>
      <c r="T20" s="244" t="str">
        <f>IF(ISNUMBER('Predictive Calculator'!F49),'Predictive Calculator'!F49,"")</f>
        <v/>
      </c>
      <c r="U20" s="244" t="str">
        <f>IF(ISNUMBER('Predictive Calculator'!G49),'Predictive Calculator'!G49,"")</f>
        <v/>
      </c>
      <c r="V20" s="244" t="str">
        <f>IF(ISNUMBER('Predictive Calculator'!H49),'Predictive Calculator'!H49,"")</f>
        <v/>
      </c>
      <c r="W20" s="244" t="str">
        <f>IF(ISNUMBER('Predictive Calculator'!I49),'Predictive Calculator'!I49,"")</f>
        <v/>
      </c>
      <c r="X20" s="244" t="str">
        <f>IF(ISNUMBER('Predictive Calculator'!J49),'Predictive Calculator'!J49,"")</f>
        <v/>
      </c>
      <c r="Y20" s="1025" t="str">
        <f>IF(ISNUMBER('Predictive Calculator'!K49),'Predictive Calculator'!K49,"")</f>
        <v/>
      </c>
      <c r="Z20" s="1025" t="str">
        <f>IF(ISNUMBER('Predictive Calculator'!#REF!),'Predictive Calculator'!#REF!,"")</f>
        <v/>
      </c>
      <c r="AA20" s="94"/>
      <c r="AB20" s="81"/>
      <c r="AC20" s="161"/>
      <c r="AD20" s="361">
        <f>IF(ISNUMBER('Predictive Calculator'!B69),'Predictive Calculator'!B69,"")</f>
        <v>9</v>
      </c>
      <c r="AE20" s="645" t="str">
        <f>IF(ISNUMBER('Predictive Calculator'!C69),'Predictive Calculator'!C69,"")</f>
        <v/>
      </c>
      <c r="AF20" s="244" t="str">
        <f>IF(ISNUMBER('Predictive Calculator'!D69),'Predictive Calculator'!D69,"")</f>
        <v/>
      </c>
      <c r="AG20" s="244" t="str">
        <f>IF(ISNUMBER('Predictive Calculator'!E69),'Predictive Calculator'!E69,"")</f>
        <v/>
      </c>
      <c r="AH20" s="244" t="str">
        <f>IF(ISNUMBER('Predictive Calculator'!F69),'Predictive Calculator'!F69,"")</f>
        <v/>
      </c>
      <c r="AI20" s="244" t="str">
        <f>IF(ISNUMBER('Predictive Calculator'!G69),'Predictive Calculator'!G69,"")</f>
        <v/>
      </c>
      <c r="AJ20" s="244" t="str">
        <f>IF(ISNUMBER('Predictive Calculator'!H69),'Predictive Calculator'!H69,"")</f>
        <v/>
      </c>
      <c r="AK20" s="244" t="str">
        <f>IF(ISNUMBER('Predictive Calculator'!I69),'Predictive Calculator'!I69,"")</f>
        <v/>
      </c>
      <c r="AL20" s="244" t="str">
        <f>IF(ISNUMBER('Predictive Calculator'!J69),'Predictive Calculator'!J69,"")</f>
        <v/>
      </c>
      <c r="AM20" s="268" t="str">
        <f>IF(ISNUMBER('Predictive Calculator'!K69),'Predictive Calculator'!K69,"")</f>
        <v/>
      </c>
      <c r="AN20" s="94"/>
      <c r="AO20" s="81"/>
      <c r="AP20" s="161"/>
      <c r="AQ20" s="161"/>
      <c r="AR20" s="161"/>
      <c r="AS20" s="161"/>
      <c r="AT20" s="161"/>
      <c r="AU20" s="168"/>
      <c r="AV20" s="161"/>
      <c r="AX20" s="59">
        <f>IF(ISNUMBER('Predictive Calculator'!AU29),'Predictive Calculator'!AU29,"")</f>
        <v>0</v>
      </c>
      <c r="AY20" s="59">
        <f>IF(ISNUMBER('Predictive Calculator'!AU49),'Predictive Calculator'!AU49,"")</f>
        <v>0</v>
      </c>
      <c r="AZ20" s="59">
        <f>IF(ISNUMBER('Predictive Calculator'!AU69),'Predictive Calculator'!AU69,"")</f>
        <v>0</v>
      </c>
      <c r="BA20" s="59" t="str">
        <f>IF(ISNUMBER('Predictive Calculator'!AV29),'Predictive Calculator'!AV29,"")</f>
        <v/>
      </c>
      <c r="BB20" s="59" t="str">
        <f>IF(ISNUMBER('Predictive Calculator'!AV49),'Predictive Calculator'!AV49,"")</f>
        <v/>
      </c>
      <c r="BC20" s="59" t="str">
        <f>IF(ISNUMBER('Predictive Calculator'!AV69),'Predictive Calculator'!AV69,"")</f>
        <v/>
      </c>
      <c r="BD20" s="59" t="str">
        <f>IF(ISNUMBER('Predictive Calculator'!AW29),'Predictive Calculator'!AW29,"")</f>
        <v/>
      </c>
      <c r="BE20" s="59" t="str">
        <f>IF(ISNUMBER('Predictive Calculator'!AW49),'Predictive Calculator'!AW49,"")</f>
        <v/>
      </c>
      <c r="BF20" s="59" t="str">
        <f>IF(ISNUMBER('Predictive Calculator'!AW69),'Predictive Calculator'!AW69,"")</f>
        <v/>
      </c>
      <c r="BG20" s="59">
        <f t="shared" si="0"/>
        <v>56</v>
      </c>
      <c r="BH20" s="59" t="str">
        <f t="shared" si="1"/>
        <v/>
      </c>
      <c r="BI20" s="59" t="str">
        <f t="shared" si="2"/>
        <v/>
      </c>
    </row>
    <row r="21" spans="1:91">
      <c r="B21" s="361">
        <f>'Predictive Calculator'!B30</f>
        <v>10</v>
      </c>
      <c r="C21" s="651" t="str">
        <f>IF(ISNUMBER('Predictive Calculator'!C30),'Predictive Calculator'!C30,"")</f>
        <v/>
      </c>
      <c r="D21" s="651" t="str">
        <f>IF(ISNUMBER('Predictive Calculator'!D30),'Predictive Calculator'!D30,"")</f>
        <v/>
      </c>
      <c r="E21" s="651" t="str">
        <f>IF(ISNUMBER('Predictive Calculator'!E30),'Predictive Calculator'!E30,"")</f>
        <v/>
      </c>
      <c r="F21" s="651" t="str">
        <f>IF(ISNUMBER('Predictive Calculator'!F30),'Predictive Calculator'!F30,"")</f>
        <v/>
      </c>
      <c r="G21" s="651" t="str">
        <f>IF(ISNUMBER('Predictive Calculator'!G30),'Predictive Calculator'!G30,"")</f>
        <v/>
      </c>
      <c r="H21" s="651" t="str">
        <f>IF(ISNUMBER('Predictive Calculator'!H30),'Predictive Calculator'!H30,"")</f>
        <v/>
      </c>
      <c r="I21" s="651" t="str">
        <f>IF(ISNUMBER('Predictive Calculator'!I30),'Predictive Calculator'!I30,"")</f>
        <v/>
      </c>
      <c r="J21" s="651" t="str">
        <f>IF(ISNUMBER('Predictive Calculator'!J30),'Predictive Calculator'!J30,"")</f>
        <v/>
      </c>
      <c r="K21" s="1025" t="str">
        <f>IF(ISNUMBER('Predictive Calculator'!K30),'Predictive Calculator'!K30,"")</f>
        <v/>
      </c>
      <c r="L21" s="1025" t="str">
        <f>IF(ISNUMBER('Predictive Calculator'!#REF!),'Predictive Calculator'!#REF!,"")</f>
        <v/>
      </c>
      <c r="M21" s="94">
        <v>22</v>
      </c>
      <c r="N21" s="81">
        <v>34</v>
      </c>
      <c r="O21" s="161"/>
      <c r="P21" s="361">
        <f>IF(ISNUMBER('Predictive Calculator'!B50),'Predictive Calculator'!B50,"")</f>
        <v>10</v>
      </c>
      <c r="Q21" s="645" t="str">
        <f>IF(ISNUMBER('Predictive Calculator'!C50),'Predictive Calculator'!C50,"")</f>
        <v/>
      </c>
      <c r="R21" s="244" t="str">
        <f>IF(ISNUMBER('Predictive Calculator'!D50),'Predictive Calculator'!D50,"")</f>
        <v/>
      </c>
      <c r="S21" s="244" t="str">
        <f>IF(ISNUMBER('Predictive Calculator'!E50),'Predictive Calculator'!E50,"")</f>
        <v/>
      </c>
      <c r="T21" s="244" t="str">
        <f>IF(ISNUMBER('Predictive Calculator'!F50),'Predictive Calculator'!F50,"")</f>
        <v/>
      </c>
      <c r="U21" s="244" t="str">
        <f>IF(ISNUMBER('Predictive Calculator'!G50),'Predictive Calculator'!G50,"")</f>
        <v/>
      </c>
      <c r="V21" s="244" t="str">
        <f>IF(ISNUMBER('Predictive Calculator'!H50),'Predictive Calculator'!H50,"")</f>
        <v/>
      </c>
      <c r="W21" s="244" t="str">
        <f>IF(ISNUMBER('Predictive Calculator'!I50),'Predictive Calculator'!I50,"")</f>
        <v/>
      </c>
      <c r="X21" s="244" t="str">
        <f>IF(ISNUMBER('Predictive Calculator'!J50),'Predictive Calculator'!J50,"")</f>
        <v/>
      </c>
      <c r="Y21" s="1025" t="str">
        <f>IF(ISNUMBER('Predictive Calculator'!K50),'Predictive Calculator'!K50,"")</f>
        <v/>
      </c>
      <c r="Z21" s="1025" t="str">
        <f>IF(ISNUMBER('Predictive Calculator'!#REF!),'Predictive Calculator'!#REF!,"")</f>
        <v/>
      </c>
      <c r="AA21" s="94"/>
      <c r="AB21" s="81"/>
      <c r="AC21" s="161"/>
      <c r="AD21" s="361">
        <f>IF(ISNUMBER('Predictive Calculator'!B70),'Predictive Calculator'!B70,"")</f>
        <v>10</v>
      </c>
      <c r="AE21" s="645" t="str">
        <f>IF(ISNUMBER('Predictive Calculator'!C70),'Predictive Calculator'!C70,"")</f>
        <v/>
      </c>
      <c r="AF21" s="244" t="str">
        <f>IF(ISNUMBER('Predictive Calculator'!D70),'Predictive Calculator'!D70,"")</f>
        <v/>
      </c>
      <c r="AG21" s="244" t="str">
        <f>IF(ISNUMBER('Predictive Calculator'!E70),'Predictive Calculator'!E70,"")</f>
        <v/>
      </c>
      <c r="AH21" s="244" t="str">
        <f>IF(ISNUMBER('Predictive Calculator'!F70),'Predictive Calculator'!F70,"")</f>
        <v/>
      </c>
      <c r="AI21" s="244" t="str">
        <f>IF(ISNUMBER('Predictive Calculator'!G70),'Predictive Calculator'!G70,"")</f>
        <v/>
      </c>
      <c r="AJ21" s="244" t="str">
        <f>IF(ISNUMBER('Predictive Calculator'!H70),'Predictive Calculator'!H70,"")</f>
        <v/>
      </c>
      <c r="AK21" s="244" t="str">
        <f>IF(ISNUMBER('Predictive Calculator'!I70),'Predictive Calculator'!I70,"")</f>
        <v/>
      </c>
      <c r="AL21" s="244" t="str">
        <f>IF(ISNUMBER('Predictive Calculator'!J70),'Predictive Calculator'!J70,"")</f>
        <v/>
      </c>
      <c r="AM21" s="268" t="str">
        <f>IF(ISNUMBER('Predictive Calculator'!K70),'Predictive Calculator'!K70,"")</f>
        <v/>
      </c>
      <c r="AN21" s="94"/>
      <c r="AO21" s="81"/>
      <c r="AP21" s="161"/>
      <c r="AQ21" s="161"/>
      <c r="AR21" s="161"/>
      <c r="AS21" s="161"/>
      <c r="AT21" s="161"/>
      <c r="AU21" s="168"/>
      <c r="AV21" s="161"/>
      <c r="AX21" s="59">
        <f>IF(ISNUMBER('Predictive Calculator'!AU30),'Predictive Calculator'!AU30,"")</f>
        <v>0</v>
      </c>
      <c r="AY21" s="59">
        <f>IF(ISNUMBER('Predictive Calculator'!AU50),'Predictive Calculator'!AU50,"")</f>
        <v>0</v>
      </c>
      <c r="AZ21" s="59">
        <f>IF(ISNUMBER('Predictive Calculator'!AU70),'Predictive Calculator'!AU70,"")</f>
        <v>0</v>
      </c>
      <c r="BA21" s="59" t="str">
        <f>IF(ISNUMBER('Predictive Calculator'!AV30),'Predictive Calculator'!AV30,"")</f>
        <v/>
      </c>
      <c r="BB21" s="59" t="str">
        <f>IF(ISNUMBER('Predictive Calculator'!AV50),'Predictive Calculator'!AV50,"")</f>
        <v/>
      </c>
      <c r="BC21" s="59" t="str">
        <f>IF(ISNUMBER('Predictive Calculator'!AV70),'Predictive Calculator'!AV70,"")</f>
        <v/>
      </c>
      <c r="BD21" s="59" t="str">
        <f>IF(ISNUMBER('Predictive Calculator'!AW30),'Predictive Calculator'!AW30,"")</f>
        <v/>
      </c>
      <c r="BE21" s="59" t="str">
        <f>IF(ISNUMBER('Predictive Calculator'!AW50),'Predictive Calculator'!AW50,"")</f>
        <v/>
      </c>
      <c r="BF21" s="59" t="str">
        <f>IF(ISNUMBER('Predictive Calculator'!AW70),'Predictive Calculator'!AW70,"")</f>
        <v/>
      </c>
      <c r="BH21" s="59" t="str">
        <f t="shared" si="1"/>
        <v/>
      </c>
    </row>
    <row r="22" spans="1:91">
      <c r="B22" s="361">
        <f>'Predictive Calculator'!B31</f>
        <v>11</v>
      </c>
      <c r="C22" s="651" t="str">
        <f>IF(ISNUMBER('Predictive Calculator'!C31),'Predictive Calculator'!C31,"")</f>
        <v/>
      </c>
      <c r="D22" s="651" t="str">
        <f>IF(ISNUMBER('Predictive Calculator'!D31),'Predictive Calculator'!D31,"")</f>
        <v/>
      </c>
      <c r="E22" s="244" t="str">
        <f>IF(ISNUMBER('Predictive Calculator'!E31),'Predictive Calculator'!E31,"")</f>
        <v/>
      </c>
      <c r="F22" s="244" t="str">
        <f>IF(ISNUMBER('Predictive Calculator'!F31),'Predictive Calculator'!F31,"")</f>
        <v/>
      </c>
      <c r="G22" s="244" t="str">
        <f>IF(ISNUMBER('Predictive Calculator'!G31),'Predictive Calculator'!G31,"")</f>
        <v/>
      </c>
      <c r="H22" s="244" t="str">
        <f>IF(ISNUMBER('Predictive Calculator'!H31),'Predictive Calculator'!H31,"")</f>
        <v/>
      </c>
      <c r="I22" s="244" t="str">
        <f>IF(ISNUMBER('Predictive Calculator'!I31),'Predictive Calculator'!I31,"")</f>
        <v/>
      </c>
      <c r="J22" s="244" t="str">
        <f>IF(ISNUMBER('Predictive Calculator'!J31),'Predictive Calculator'!J31,"")</f>
        <v/>
      </c>
      <c r="K22" s="1025" t="str">
        <f>IF(ISNUMBER('Predictive Calculator'!K31),'Predictive Calculator'!K31,"")</f>
        <v/>
      </c>
      <c r="L22" s="1025" t="str">
        <f>IF(ISNUMBER('Predictive Calculator'!#REF!),'Predictive Calculator'!#REF!,"")</f>
        <v/>
      </c>
      <c r="M22" s="94">
        <v>22</v>
      </c>
      <c r="N22" s="81">
        <v>34</v>
      </c>
      <c r="O22" s="161"/>
      <c r="P22" s="361">
        <f>IF(ISNUMBER('Predictive Calculator'!B51),'Predictive Calculator'!B51,"")</f>
        <v>11</v>
      </c>
      <c r="Q22" s="645" t="str">
        <f>IF(ISNUMBER('Predictive Calculator'!C51),'Predictive Calculator'!C51,"")</f>
        <v/>
      </c>
      <c r="R22" s="244" t="str">
        <f>IF(ISNUMBER('Predictive Calculator'!D51),'Predictive Calculator'!D51,"")</f>
        <v/>
      </c>
      <c r="S22" s="244" t="str">
        <f>IF(ISNUMBER('Predictive Calculator'!E51),'Predictive Calculator'!E51,"")</f>
        <v/>
      </c>
      <c r="T22" s="244" t="str">
        <f>IF(ISNUMBER('Predictive Calculator'!F51),'Predictive Calculator'!F51,"")</f>
        <v/>
      </c>
      <c r="U22" s="244" t="str">
        <f>IF(ISNUMBER('Predictive Calculator'!G51),'Predictive Calculator'!G51,"")</f>
        <v/>
      </c>
      <c r="V22" s="244" t="str">
        <f>IF(ISNUMBER('Predictive Calculator'!H51),'Predictive Calculator'!H51,"")</f>
        <v/>
      </c>
      <c r="W22" s="244" t="str">
        <f>IF(ISNUMBER('Predictive Calculator'!I51),'Predictive Calculator'!I51,"")</f>
        <v/>
      </c>
      <c r="X22" s="244" t="str">
        <f>IF(ISNUMBER('Predictive Calculator'!J51),'Predictive Calculator'!J51,"")</f>
        <v/>
      </c>
      <c r="Y22" s="1025" t="str">
        <f>IF(ISNUMBER('Predictive Calculator'!K51),'Predictive Calculator'!K51,"")</f>
        <v/>
      </c>
      <c r="Z22" s="1025" t="str">
        <f>IF(ISNUMBER('Predictive Calculator'!#REF!),'Predictive Calculator'!#REF!,"")</f>
        <v/>
      </c>
      <c r="AA22" s="94"/>
      <c r="AB22" s="81"/>
      <c r="AC22" s="161"/>
      <c r="AD22" s="361">
        <f>IF(ISNUMBER('Predictive Calculator'!B71),'Predictive Calculator'!B71,"")</f>
        <v>11</v>
      </c>
      <c r="AE22" s="645" t="str">
        <f>IF(ISNUMBER('Predictive Calculator'!C71),'Predictive Calculator'!C71,"")</f>
        <v/>
      </c>
      <c r="AF22" s="244" t="str">
        <f>IF(ISNUMBER('Predictive Calculator'!D71),'Predictive Calculator'!D71,"")</f>
        <v/>
      </c>
      <c r="AG22" s="244" t="str">
        <f>IF(ISNUMBER('Predictive Calculator'!E71),'Predictive Calculator'!E71,"")</f>
        <v/>
      </c>
      <c r="AH22" s="244" t="str">
        <f>IF(ISNUMBER('Predictive Calculator'!F71),'Predictive Calculator'!F71,"")</f>
        <v/>
      </c>
      <c r="AI22" s="244" t="str">
        <f>IF(ISNUMBER('Predictive Calculator'!G71),'Predictive Calculator'!G71,"")</f>
        <v/>
      </c>
      <c r="AJ22" s="244" t="str">
        <f>IF(ISNUMBER('Predictive Calculator'!H71),'Predictive Calculator'!H71,"")</f>
        <v/>
      </c>
      <c r="AK22" s="244" t="str">
        <f>IF(ISNUMBER('Predictive Calculator'!I71),'Predictive Calculator'!I71,"")</f>
        <v/>
      </c>
      <c r="AL22" s="244" t="str">
        <f>IF(ISNUMBER('Predictive Calculator'!J71),'Predictive Calculator'!J71,"")</f>
        <v/>
      </c>
      <c r="AM22" s="268" t="str">
        <f>IF(ISNUMBER('Predictive Calculator'!K71),'Predictive Calculator'!K71,"")</f>
        <v/>
      </c>
      <c r="AN22" s="94"/>
      <c r="AO22" s="81"/>
      <c r="AP22" s="161"/>
      <c r="AQ22" s="161"/>
      <c r="AR22" s="161"/>
      <c r="AS22" s="161"/>
      <c r="AT22" s="161"/>
      <c r="AU22" s="168"/>
      <c r="AV22" s="161"/>
      <c r="AX22" s="59">
        <f>IF(ISNUMBER('Predictive Calculator'!AU31),'Predictive Calculator'!AU31,"")</f>
        <v>0</v>
      </c>
      <c r="AY22" s="59">
        <f>IF(ISNUMBER('Predictive Calculator'!AU51),'Predictive Calculator'!AU51,"")</f>
        <v>0</v>
      </c>
      <c r="AZ22" s="59">
        <f>IF(ISNUMBER('Predictive Calculator'!AU71),'Predictive Calculator'!AU71,"")</f>
        <v>0</v>
      </c>
      <c r="BA22" s="59" t="str">
        <f>IF(ISNUMBER('Predictive Calculator'!AV31),'Predictive Calculator'!AV31,"")</f>
        <v/>
      </c>
      <c r="BB22" s="59" t="str">
        <f>IF(ISNUMBER('Predictive Calculator'!AV51),'Predictive Calculator'!AV51,"")</f>
        <v/>
      </c>
      <c r="BC22" s="59" t="str">
        <f>IF(ISNUMBER('Predictive Calculator'!AV71),'Predictive Calculator'!AV71,"")</f>
        <v/>
      </c>
      <c r="BD22" s="59" t="str">
        <f>IF(ISNUMBER('Predictive Calculator'!AW31),'Predictive Calculator'!AW31,"")</f>
        <v/>
      </c>
      <c r="BE22" s="59" t="str">
        <f>IF(ISNUMBER('Predictive Calculator'!AW51),'Predictive Calculator'!AW51,"")</f>
        <v/>
      </c>
      <c r="BF22" s="59" t="str">
        <f>IF(ISNUMBER('Predictive Calculator'!AW71),'Predictive Calculator'!AW71,"")</f>
        <v/>
      </c>
      <c r="BH22" s="59" t="str">
        <f t="shared" si="1"/>
        <v/>
      </c>
    </row>
    <row r="23" spans="1:91" ht="15" thickBot="1">
      <c r="B23" s="182">
        <f>'Predictive Calculator'!B32</f>
        <v>12</v>
      </c>
      <c r="C23" s="249" t="str">
        <f>IF(ISNUMBER('Predictive Calculator'!C32),'Predictive Calculator'!C32,"")</f>
        <v/>
      </c>
      <c r="D23" s="249" t="str">
        <f>IF(ISNUMBER('Predictive Calculator'!D32),'Predictive Calculator'!D32,"")</f>
        <v/>
      </c>
      <c r="E23" s="249" t="str">
        <f>IF(ISNUMBER('Predictive Calculator'!E32),'Predictive Calculator'!E32,"")</f>
        <v/>
      </c>
      <c r="F23" s="249" t="str">
        <f>IF(ISNUMBER('Predictive Calculator'!F32),'Predictive Calculator'!F32,"")</f>
        <v/>
      </c>
      <c r="G23" s="249" t="str">
        <f>IF(ISNUMBER('Predictive Calculator'!G32),'Predictive Calculator'!G32,"")</f>
        <v/>
      </c>
      <c r="H23" s="249" t="str">
        <f>IF(ISNUMBER('Predictive Calculator'!H32),'Predictive Calculator'!H32,"")</f>
        <v/>
      </c>
      <c r="I23" s="249" t="str">
        <f>IF(ISNUMBER('Predictive Calculator'!I32),'Predictive Calculator'!I32,"")</f>
        <v/>
      </c>
      <c r="J23" s="249" t="str">
        <f>IF(ISNUMBER('Predictive Calculator'!J32),'Predictive Calculator'!J32,"")</f>
        <v/>
      </c>
      <c r="K23" s="1032" t="str">
        <f>IF(ISNUMBER('Predictive Calculator'!K32),'Predictive Calculator'!K32,"")</f>
        <v/>
      </c>
      <c r="L23" s="1032" t="str">
        <f>IF(ISNUMBER('Predictive Calculator'!#REF!),'Predictive Calculator'!#REF!,"")</f>
        <v/>
      </c>
      <c r="M23" s="95"/>
      <c r="N23" s="82"/>
      <c r="O23" s="161"/>
      <c r="P23" s="182">
        <f>IF(ISNUMBER('Predictive Calculator'!B52),'Predictive Calculator'!B52,"")</f>
        <v>12</v>
      </c>
      <c r="Q23" s="249" t="str">
        <f>IF(ISNUMBER('Predictive Calculator'!C52),'Predictive Calculator'!C52,"")</f>
        <v/>
      </c>
      <c r="R23" s="249" t="str">
        <f>IF(ISNUMBER('Predictive Calculator'!D52),'Predictive Calculator'!D52,"")</f>
        <v/>
      </c>
      <c r="S23" s="249" t="str">
        <f>IF(ISNUMBER('Predictive Calculator'!E52),'Predictive Calculator'!E52,"")</f>
        <v/>
      </c>
      <c r="T23" s="249" t="str">
        <f>IF(ISNUMBER('Predictive Calculator'!F52),'Predictive Calculator'!F52,"")</f>
        <v/>
      </c>
      <c r="U23" s="249" t="str">
        <f>IF(ISNUMBER('Predictive Calculator'!G52),'Predictive Calculator'!G52,"")</f>
        <v/>
      </c>
      <c r="V23" s="249" t="str">
        <f>IF(ISNUMBER('Predictive Calculator'!H52),'Predictive Calculator'!H52,"")</f>
        <v/>
      </c>
      <c r="W23" s="249" t="str">
        <f>IF(ISNUMBER('Predictive Calculator'!I52),'Predictive Calculator'!I52,"")</f>
        <v/>
      </c>
      <c r="X23" s="249" t="str">
        <f>IF(ISNUMBER('Predictive Calculator'!J52),'Predictive Calculator'!J52,"")</f>
        <v/>
      </c>
      <c r="Y23" s="1032" t="str">
        <f>IF(ISNUMBER('Predictive Calculator'!K52),'Predictive Calculator'!K52,"")</f>
        <v/>
      </c>
      <c r="Z23" s="1032" t="str">
        <f>IF(ISNUMBER('Predictive Calculator'!#REF!),'Predictive Calculator'!#REF!,"")</f>
        <v/>
      </c>
      <c r="AA23" s="95"/>
      <c r="AB23" s="82"/>
      <c r="AC23" s="161"/>
      <c r="AD23" s="182">
        <f>IF(ISNUMBER('Predictive Calculator'!B72),'Predictive Calculator'!B72,"")</f>
        <v>12</v>
      </c>
      <c r="AE23" s="249" t="str">
        <f>IF(ISNUMBER('Predictive Calculator'!C72),'Predictive Calculator'!C72,"")</f>
        <v/>
      </c>
      <c r="AF23" s="249" t="str">
        <f>IF(ISNUMBER('Predictive Calculator'!D72),'Predictive Calculator'!D72,"")</f>
        <v/>
      </c>
      <c r="AG23" s="249" t="str">
        <f>IF(ISNUMBER('Predictive Calculator'!E72),'Predictive Calculator'!E72,"")</f>
        <v/>
      </c>
      <c r="AH23" s="249" t="str">
        <f>IF(ISNUMBER('Predictive Calculator'!F72),'Predictive Calculator'!F72,"")</f>
        <v/>
      </c>
      <c r="AI23" s="249" t="str">
        <f>IF(ISNUMBER('Predictive Calculator'!G72),'Predictive Calculator'!G72,"")</f>
        <v/>
      </c>
      <c r="AJ23" s="249" t="str">
        <f>IF(ISNUMBER('Predictive Calculator'!H72),'Predictive Calculator'!H72,"")</f>
        <v/>
      </c>
      <c r="AK23" s="249" t="str">
        <f>IF(ISNUMBER('Predictive Calculator'!I72),'Predictive Calculator'!I72,"")</f>
        <v/>
      </c>
      <c r="AL23" s="249" t="str">
        <f>IF(ISNUMBER('Predictive Calculator'!J72),'Predictive Calculator'!J72,"")</f>
        <v/>
      </c>
      <c r="AM23" s="431" t="str">
        <f>IF(ISNUMBER('Predictive Calculator'!K72),'Predictive Calculator'!K72,"")</f>
        <v/>
      </c>
      <c r="AN23" s="95"/>
      <c r="AO23" s="82"/>
      <c r="AP23" s="161"/>
      <c r="AQ23" s="161"/>
      <c r="AR23" s="161"/>
      <c r="AS23" s="161"/>
      <c r="AT23" s="161"/>
      <c r="AU23" s="168"/>
      <c r="AV23" s="161"/>
      <c r="AX23" s="59">
        <f>IF(ISNUMBER('Predictive Calculator'!AU32),'Predictive Calculator'!AU32,"")</f>
        <v>0</v>
      </c>
      <c r="AY23" s="59">
        <f>IF(ISNUMBER('Predictive Calculator'!AU52),'Predictive Calculator'!AU52,"")</f>
        <v>0</v>
      </c>
      <c r="AZ23" s="59">
        <f>IF(ISNUMBER('Predictive Calculator'!AU72),'Predictive Calculator'!AU72,"")</f>
        <v>0</v>
      </c>
      <c r="BA23" s="59" t="str">
        <f>IF(ISNUMBER('Predictive Calculator'!AV32),'Predictive Calculator'!AV32,"")</f>
        <v/>
      </c>
      <c r="BB23" s="59" t="str">
        <f>IF(ISNUMBER('Predictive Calculator'!AV52),'Predictive Calculator'!AV52,"")</f>
        <v/>
      </c>
      <c r="BC23" s="59" t="str">
        <f>IF(ISNUMBER('Predictive Calculator'!AV72),'Predictive Calculator'!AV72,"")</f>
        <v/>
      </c>
      <c r="BD23" s="59" t="str">
        <f>IF(ISNUMBER('Predictive Calculator'!AW32),'Predictive Calculator'!AW32,"")</f>
        <v/>
      </c>
      <c r="BE23" s="59" t="str">
        <f>IF(ISNUMBER('Predictive Calculator'!AW52),'Predictive Calculator'!AW52,"")</f>
        <v/>
      </c>
      <c r="BF23" s="59" t="str">
        <f>IF(ISNUMBER('Predictive Calculator'!AW72),'Predictive Calculator'!AW72,"")</f>
        <v/>
      </c>
      <c r="BH23" s="59" t="str">
        <f t="shared" si="1"/>
        <v/>
      </c>
    </row>
    <row r="24" spans="1:91">
      <c r="B24" s="169"/>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8"/>
      <c r="AV24" s="161"/>
      <c r="BL24" s="59"/>
    </row>
    <row r="25" spans="1:91" s="160" customFormat="1" ht="18.5">
      <c r="A25" s="157"/>
      <c r="B25" s="188" t="s">
        <v>934</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8"/>
      <c r="AV25" s="161"/>
    </row>
    <row r="26" spans="1:91" s="160" customFormat="1" ht="36" customHeight="1">
      <c r="A26" s="157"/>
      <c r="B26" s="968" t="s">
        <v>935</v>
      </c>
      <c r="C26" s="962"/>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962"/>
      <c r="AM26" s="962"/>
      <c r="AN26" s="962"/>
      <c r="AO26" s="962"/>
      <c r="AP26" s="161"/>
      <c r="AQ26" s="161"/>
      <c r="AR26" s="161"/>
      <c r="AS26" s="161"/>
      <c r="AT26" s="161"/>
      <c r="AU26" s="168"/>
      <c r="AV26" s="161"/>
    </row>
    <row r="27" spans="1:91" s="160" customFormat="1" ht="23.25" customHeight="1">
      <c r="A27" s="157"/>
      <c r="B27" s="439" t="s">
        <v>1512</v>
      </c>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c r="AJ27" s="285"/>
      <c r="AK27" s="285"/>
      <c r="AL27" s="285"/>
      <c r="AM27" s="285"/>
      <c r="AN27" s="285"/>
      <c r="AO27" s="285"/>
      <c r="AP27" s="161"/>
      <c r="AQ27" s="161"/>
      <c r="AR27" s="161"/>
      <c r="AS27" s="161"/>
      <c r="AT27" s="161"/>
      <c r="AU27" s="168"/>
      <c r="AV27" s="161"/>
    </row>
    <row r="28" spans="1:91" s="160" customFormat="1" ht="15.5">
      <c r="A28" s="157"/>
      <c r="B28" s="284" t="s">
        <v>1489</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8"/>
      <c r="AV28" s="161"/>
    </row>
    <row r="29" spans="1:91" s="52" customFormat="1" ht="24.75" customHeight="1">
      <c r="A29" s="324"/>
      <c r="B29" s="188" t="s">
        <v>515</v>
      </c>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c r="AQ29" s="194"/>
      <c r="AR29" s="194"/>
      <c r="AS29" s="194"/>
      <c r="AT29" s="194"/>
      <c r="AU29" s="107"/>
      <c r="AV29" s="194"/>
      <c r="BA29" s="660" t="s">
        <v>1510</v>
      </c>
    </row>
    <row r="30" spans="1:91" ht="24.75" customHeight="1" thickBot="1">
      <c r="B30" s="108" t="str">
        <f>B9</f>
        <v>Vertosol  50</v>
      </c>
      <c r="C30" s="161"/>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8"/>
      <c r="AV30" s="161"/>
      <c r="BQ30" s="161"/>
      <c r="BR30" s="161"/>
      <c r="BS30" s="161"/>
      <c r="BT30" s="161"/>
      <c r="BU30" s="161"/>
      <c r="BV30" s="161"/>
      <c r="BW30" s="161"/>
      <c r="BX30" s="161"/>
      <c r="BY30" s="161"/>
      <c r="BZ30" s="161"/>
      <c r="CA30" s="161"/>
      <c r="CB30" s="161"/>
      <c r="CC30" s="161"/>
      <c r="CD30" s="161"/>
      <c r="CE30" s="161"/>
      <c r="CF30" s="161"/>
      <c r="CG30" s="161"/>
      <c r="CH30" s="161"/>
      <c r="CI30" s="161"/>
      <c r="CJ30" s="161"/>
      <c r="CK30" s="161"/>
      <c r="CL30" s="161"/>
      <c r="CM30" s="161"/>
    </row>
    <row r="31" spans="1:91">
      <c r="B31" s="65" t="s">
        <v>465</v>
      </c>
      <c r="C31" s="66"/>
      <c r="D31" s="331"/>
      <c r="E31" s="1193" t="s">
        <v>874</v>
      </c>
      <c r="F31" s="1194"/>
      <c r="G31" s="1194"/>
      <c r="H31" s="1194"/>
      <c r="I31" s="1194"/>
      <c r="J31" s="1194"/>
      <c r="K31" s="1194"/>
      <c r="L31" s="1192"/>
      <c r="M31" s="1191" t="s">
        <v>568</v>
      </c>
      <c r="N31" s="1192"/>
      <c r="O31" s="1193" t="s">
        <v>875</v>
      </c>
      <c r="P31" s="1194"/>
      <c r="Q31" s="1194"/>
      <c r="R31" s="1192"/>
      <c r="S31" s="1193" t="s">
        <v>876</v>
      </c>
      <c r="T31" s="1194"/>
      <c r="U31" s="1194"/>
      <c r="V31" s="1194"/>
      <c r="W31" s="1194"/>
      <c r="X31" s="1194"/>
      <c r="Y31" s="1194"/>
      <c r="Z31" s="1194"/>
      <c r="AA31" s="1194"/>
      <c r="AB31" s="1195"/>
      <c r="AC31" s="1193" t="s">
        <v>546</v>
      </c>
      <c r="AD31" s="1192"/>
      <c r="AE31" s="1196" t="s">
        <v>972</v>
      </c>
      <c r="AF31" s="1197"/>
      <c r="AG31" s="1191" t="s">
        <v>547</v>
      </c>
      <c r="AH31" s="1192"/>
      <c r="AI31" s="1164" t="s">
        <v>631</v>
      </c>
      <c r="AJ31" s="1165"/>
      <c r="AK31" s="1165"/>
      <c r="AL31" s="1166"/>
      <c r="AM31" s="1164" t="s">
        <v>632</v>
      </c>
      <c r="AN31" s="1165"/>
      <c r="AO31" s="1165"/>
      <c r="AP31" s="1166"/>
      <c r="AQ31" s="626" t="s">
        <v>870</v>
      </c>
      <c r="AR31" s="1167" t="str">
        <f>IF($X$7="cm","Cumulative PAWC (cm/0.1m)",IF($X$7="mm","Cumulative PAWC (mm/0.1m)",""))</f>
        <v>Cumulative PAWC (mm/0.1m)</v>
      </c>
      <c r="AS31" s="1168"/>
      <c r="AT31" s="1169"/>
      <c r="AU31" s="109"/>
      <c r="AV31" s="243"/>
      <c r="AX31" s="59"/>
      <c r="AY31" s="63" t="s">
        <v>637</v>
      </c>
      <c r="AZ31" s="63"/>
      <c r="BA31" s="63" t="s">
        <v>1509</v>
      </c>
      <c r="BB31" s="650"/>
      <c r="BQ31" s="93" t="s">
        <v>631</v>
      </c>
      <c r="BR31" s="93"/>
      <c r="BS31" s="93"/>
      <c r="BT31" s="93"/>
      <c r="BU31" s="93" t="s">
        <v>632</v>
      </c>
      <c r="BV31" s="93"/>
      <c r="BW31" s="93"/>
      <c r="BX31" s="93"/>
      <c r="BY31" s="161"/>
      <c r="BZ31" s="161"/>
      <c r="CA31" s="161"/>
      <c r="CB31" s="161"/>
      <c r="CC31" s="161"/>
      <c r="CD31" s="161"/>
      <c r="CE31" s="161" t="s">
        <v>566</v>
      </c>
      <c r="CF31" s="161" t="s">
        <v>627</v>
      </c>
      <c r="CG31" s="161"/>
      <c r="CH31" s="161"/>
      <c r="CI31" s="161"/>
      <c r="CJ31" s="161"/>
      <c r="CK31" s="161"/>
      <c r="CL31" s="161"/>
      <c r="CM31" s="161"/>
    </row>
    <row r="32" spans="1:91">
      <c r="B32" s="361" t="s">
        <v>567</v>
      </c>
      <c r="C32" s="1052" t="s">
        <v>870</v>
      </c>
      <c r="D32" s="1022"/>
      <c r="E32" s="1198" t="s">
        <v>100</v>
      </c>
      <c r="F32" s="1172"/>
      <c r="G32" s="1172" t="s">
        <v>4</v>
      </c>
      <c r="H32" s="1172"/>
      <c r="I32" s="1172" t="s">
        <v>568</v>
      </c>
      <c r="J32" s="1172"/>
      <c r="K32" s="1172" t="s">
        <v>8</v>
      </c>
      <c r="L32" s="1200"/>
      <c r="M32" s="1201" t="s">
        <v>817</v>
      </c>
      <c r="N32" s="1202"/>
      <c r="O32" s="1198" t="s">
        <v>569</v>
      </c>
      <c r="P32" s="1172"/>
      <c r="Q32" s="1172" t="s">
        <v>4</v>
      </c>
      <c r="R32" s="1200"/>
      <c r="S32" s="1198" t="s">
        <v>100</v>
      </c>
      <c r="T32" s="1172"/>
      <c r="U32" s="1172" t="s">
        <v>570</v>
      </c>
      <c r="V32" s="1172"/>
      <c r="W32" s="1172" t="s">
        <v>568</v>
      </c>
      <c r="X32" s="1172"/>
      <c r="Y32" s="1172" t="s">
        <v>8</v>
      </c>
      <c r="Z32" s="1172"/>
      <c r="AA32" s="1172" t="s">
        <v>565</v>
      </c>
      <c r="AB32" s="1203"/>
      <c r="AC32" s="1198" t="s">
        <v>568</v>
      </c>
      <c r="AD32" s="1200"/>
      <c r="AE32" s="1198" t="s">
        <v>571</v>
      </c>
      <c r="AF32" s="1200"/>
      <c r="AG32" s="1204" t="str">
        <f>IF($X$7="cm","cm",IF($X$7="mm","mm",""))</f>
        <v>mm</v>
      </c>
      <c r="AH32" s="1200"/>
      <c r="AI32" s="411" t="s">
        <v>546</v>
      </c>
      <c r="AJ32" s="410" t="s">
        <v>103</v>
      </c>
      <c r="AK32" s="410" t="s">
        <v>104</v>
      </c>
      <c r="AL32" s="412" t="str">
        <f>IF($X$7="cm","PAWC (cm/0.1m)",IF($X$7="mm","PAWC (mm/0.1m)",""))</f>
        <v>PAWC (mm/0.1m)</v>
      </c>
      <c r="AM32" s="411" t="s">
        <v>628</v>
      </c>
      <c r="AN32" s="410" t="s">
        <v>629</v>
      </c>
      <c r="AO32" s="410" t="s">
        <v>104</v>
      </c>
      <c r="AP32" s="619" t="str">
        <f>IF($X$7="cm","PAWC (cm/0.1m)",IF($X$7="mm","PAWC (mm/0.1m)",""))</f>
        <v>PAWC (mm/0.1m)</v>
      </c>
      <c r="AQ32" s="332" t="s">
        <v>636</v>
      </c>
      <c r="AR32" s="623" t="s">
        <v>634</v>
      </c>
      <c r="AS32" s="623" t="s">
        <v>635</v>
      </c>
      <c r="AT32" s="624" t="s">
        <v>632</v>
      </c>
      <c r="AU32" s="110"/>
      <c r="AV32" s="252"/>
      <c r="AX32" s="59"/>
      <c r="AY32" s="59"/>
      <c r="AZ32" t="s">
        <v>639</v>
      </c>
      <c r="BA32" s="59" t="s">
        <v>638</v>
      </c>
      <c r="BB32" t="s">
        <v>634</v>
      </c>
      <c r="BE32" t="s">
        <v>641</v>
      </c>
      <c r="BF32" t="s">
        <v>640</v>
      </c>
      <c r="BI32" t="s">
        <v>641</v>
      </c>
      <c r="BJ32" t="s">
        <v>632</v>
      </c>
      <c r="BN32" s="59" t="s">
        <v>634</v>
      </c>
      <c r="BO32" s="59" t="s">
        <v>640</v>
      </c>
      <c r="BP32" s="59" t="s">
        <v>632</v>
      </c>
      <c r="BQ32" s="161" t="s">
        <v>546</v>
      </c>
      <c r="BR32" s="161" t="s">
        <v>103</v>
      </c>
      <c r="BS32" s="161" t="s">
        <v>104</v>
      </c>
      <c r="BT32" s="161" t="s">
        <v>547</v>
      </c>
      <c r="BU32" s="161" t="s">
        <v>628</v>
      </c>
      <c r="BV32" s="161" t="s">
        <v>629</v>
      </c>
      <c r="BW32" s="161" t="s">
        <v>104</v>
      </c>
      <c r="BX32" s="161" t="s">
        <v>547</v>
      </c>
      <c r="BY32" s="161"/>
      <c r="BZ32" s="161"/>
      <c r="CA32" s="161"/>
      <c r="CB32" s="161"/>
      <c r="CC32" s="161"/>
      <c r="CD32" s="161" t="s">
        <v>1511</v>
      </c>
      <c r="CE32" s="161"/>
      <c r="CF32" s="161"/>
      <c r="CG32" s="93" t="s">
        <v>4</v>
      </c>
      <c r="CH32" s="93" t="s">
        <v>568</v>
      </c>
      <c r="CI32" s="93" t="s">
        <v>8</v>
      </c>
      <c r="CJ32" s="93"/>
      <c r="CK32" s="161"/>
      <c r="CL32" s="93"/>
      <c r="CM32" s="161"/>
    </row>
    <row r="33" spans="1:91">
      <c r="B33" s="247">
        <v>1</v>
      </c>
      <c r="C33" s="1025">
        <f t="shared" ref="C33:C44" si="3">C12</f>
        <v>0.1</v>
      </c>
      <c r="D33" s="1178"/>
      <c r="E33" s="1029" t="str">
        <f t="shared" ref="E33:E44" si="4">J12</f>
        <v/>
      </c>
      <c r="F33" s="1025"/>
      <c r="G33" s="1170">
        <f t="shared" ref="G33:G44" si="5">IF(CG33&lt;0.5,0.5,CG33)</f>
        <v>4.25</v>
      </c>
      <c r="H33" s="1170"/>
      <c r="I33" s="1170">
        <f t="shared" ref="I33:I44" si="6">IF(CH33&lt;0.5,0.5,CH33)</f>
        <v>4.3839999999999995</v>
      </c>
      <c r="J33" s="1170"/>
      <c r="K33" s="1170">
        <f t="shared" ref="K33:K44" si="7">IF(CI33&lt;0.5,0.5,CI33)</f>
        <v>3.6231290773720799</v>
      </c>
      <c r="L33" s="1171"/>
      <c r="M33" s="1175">
        <f t="shared" ref="M33:M44" si="8">K12</f>
        <v>13.7</v>
      </c>
      <c r="N33" s="1026"/>
      <c r="O33" s="1176" t="str">
        <f t="shared" ref="O33:O44" si="9">IF(ISNUMBER(J12),(30.34+6.57*J12),"")</f>
        <v/>
      </c>
      <c r="P33" s="1170"/>
      <c r="Q33" s="1170">
        <f t="shared" ref="Q33:Q44" si="10">IF(ISNUMBER(E12),(33.21+1.03*E12),"")</f>
        <v>53.192</v>
      </c>
      <c r="R33" s="1171"/>
      <c r="S33" s="1176" t="str">
        <f t="shared" ref="S33:S44" si="11">IF(ISNUMBER(J12),(8.04+3.08*J12),"")</f>
        <v/>
      </c>
      <c r="T33" s="1170"/>
      <c r="U33" s="1170">
        <f t="shared" ref="U33:U44" si="12">IF(ISNUMBER(E12),(12.18+0.43*E12),"")</f>
        <v>20.521999999999998</v>
      </c>
      <c r="V33" s="1170"/>
      <c r="W33" s="1170">
        <f t="shared" ref="W33:W44" si="13">IF(ISNUMBER(K12),(5.48+1.23*(K12)),"")</f>
        <v>22.331</v>
      </c>
      <c r="X33" s="1170"/>
      <c r="Y33" s="1170">
        <f t="shared" ref="Y33:Y44" si="14">IF(ISNUMBER(D12),(2.6+0.057*D12)^2,"")</f>
        <v>20.079360999999999</v>
      </c>
      <c r="Z33" s="1170"/>
      <c r="AA33" s="1170">
        <f>IF(ISNUMBER(C33),AVERAGE(S33:Z33),"")</f>
        <v>20.977453666666666</v>
      </c>
      <c r="AB33" s="1184"/>
      <c r="AC33" s="1029">
        <f t="shared" ref="AC33:AC44" si="15">M33</f>
        <v>13.7</v>
      </c>
      <c r="AD33" s="1026"/>
      <c r="AE33" s="1180">
        <f>IF(ISNUMBER(C33),((0.852+0.0012*D12)*1000)/(0.3774+AA33/100),"")</f>
        <v>1518.4582169750197</v>
      </c>
      <c r="AF33" s="1181"/>
      <c r="AG33" s="1177">
        <f t="shared" ref="AG33:AG44" si="16">IF(ISNUMBER(C33),IF(AND(ISNUMBER(BB33),B33&lt;=CE$45),IF($X$7="cm",BB33,IF($X$7="mm",BB33*10,"")),""),"")</f>
        <v>11.050509318804986</v>
      </c>
      <c r="AH33" s="1171"/>
      <c r="AI33" s="420">
        <f>IF(ISNUMBER($C33),IF(AND(ISNUMBER(BQ33),$B33&lt;=$CE$45),BQ33,""),"")</f>
        <v>12.233979999999999</v>
      </c>
      <c r="AJ33" s="418">
        <f>IF(ISNUMBER($C33),IF(AND(ISNUMBER(BR33),$B33&lt;=$CE$45),BR33,""),"")</f>
        <v>27.500799999999998</v>
      </c>
      <c r="AK33" s="92">
        <f>IF(ISNUMBER($C33),IF(AND(ISNUMBER(BS33),$B33&lt;=$CE$45),BS33,""),"")</f>
        <v>1366.6294711284961</v>
      </c>
      <c r="AL33" s="419">
        <f t="shared" ref="AL33:AL44" si="17">IF(ISNUMBER($C33),IF(AND(ISNUMBER(BT33),$B33&lt;=$CE$45),IF($X$7="cm",BT33,IF($X$7="mm",BT33*10,"")),""),"")</f>
        <v>20.864086142413942</v>
      </c>
      <c r="AM33" s="655">
        <f t="shared" ref="AM33:AM39" si="18">IF(ISNUMBER($C33),IF(AND(ISNUMBER(BU33),$B33&lt;=$CD$45),BU33,""),"")</f>
        <v>14.608968000000001</v>
      </c>
      <c r="AN33" s="418">
        <f>IF(ISNUMBER($C33),IF(AND(ISNUMBER(BV33),$B33&lt;=$CD$45),BV33,""),"")</f>
        <v>26.416235689455071</v>
      </c>
      <c r="AO33" s="92">
        <f>IF(ISNUMBER($C33),IF(AND(ISNUMBER(BW33),$B33&lt;=$CD$45),BW33,""),"")</f>
        <v>1389.7324093572811</v>
      </c>
      <c r="AP33" s="620">
        <f>IF(ISNUMBER($C33),IF(AND(ISNUMBER(BX33),$B33&lt;=$CD$45),IF($X$7="cm",BX33,IF($X$7="mm",BX33*10,"")),""),"")</f>
        <v>16.408942573992771</v>
      </c>
      <c r="AQ33" s="625">
        <v>0.1</v>
      </c>
      <c r="AR33" s="629">
        <f>IF(AND(ISNUMBER(BN33),$X$7="cm"),BN33,IF(AND(ISNUMBER(BN33),$X$7="mm"),BN33*10,""))</f>
        <v>11.050509318804986</v>
      </c>
      <c r="AS33" s="629">
        <f t="shared" ref="AS33:AT44" si="19">IF(AND(ISNUMBER(BO33),$X$7="cm"),BO33,IF(AND(ISNUMBER(BO33),$X$7="mm"),BO33*10,""))</f>
        <v>20.864086142413942</v>
      </c>
      <c r="AT33" s="630">
        <f>IF(AND(ISNUMBER(BP33),$X$7="cm"),BP33,IF(AND(ISNUMBER(BP33),$X$7="mm"),BP33*10,""))</f>
        <v>16.408942573992771</v>
      </c>
      <c r="AU33" s="111"/>
      <c r="AV33" s="338"/>
      <c r="AW33" s="91">
        <v>10</v>
      </c>
      <c r="AX33" s="91">
        <f>C33*100</f>
        <v>10</v>
      </c>
      <c r="AY33" s="59">
        <f>VLOOKUP(AW33,BA$33:BB$44,2,FALSE)</f>
        <v>1.1050509318804986</v>
      </c>
      <c r="AZ33" s="59">
        <f>IF(ISNUMBER(C33),C33*100-10,"")</f>
        <v>0</v>
      </c>
      <c r="BA33" s="91">
        <f>ROUND(C33*10,0)*10</f>
        <v>10</v>
      </c>
      <c r="BB33" s="85">
        <f>IF(AND(ISNUMBER(C33),ISNUMBER(M33)),(((AA33/100)-(AC33/100))*(AE33/1000*10)),"")</f>
        <v>1.1050509318804986</v>
      </c>
      <c r="BC33">
        <f>IF(ISNUMBER(AY33),AY33,"")</f>
        <v>1.1050509318804986</v>
      </c>
      <c r="BD33" s="678">
        <f>IF(AND(ISNUMBER(BD32),SUM(BC33:BC39)=0,$AW33=100),BD32-BD31+BD32,IF(ISNUMBER(BC33),BC33,IF(AND(ISTEXT(BC33),$AZ33&gt;=10,$AZ33&lt;30),AVERAGE(BC32,BC34),IF(AND($AZ33=30,ISTEXT(BC33),ISNUMBER(BC32),ISNUMBER(BC34)),AVERAGE(BC32,BC34),IF(AND($AZ33=30,ISTEXT(BC33),ISTEXT(BC34)),((BC35-BC32)/3)+BC32,IF(AND($AZ33=30,ISTEXT(BC33),ISTEXT(BC32)),((BC34-BC31)/3)*2+BC31,IF(AND(ISTEXT(BC33),$AZ33&gt;30,$AZ33&lt;40),((BC34-BD32)/2)+BD32,IF(AND(ISTEXT(BC33),ISTEXT(BC34),$AZ33&gt;30),(AVERAGE(BC35:BC39)-BD32)/2+BD32,IF(AND(ISTEXT(BC33),ISTEXT(BC32),$AZ33&gt;=40),ABS(BD32-BC34)/2+MIN(BD32,BC34),"")))))))))</f>
        <v>1.1050509318804986</v>
      </c>
      <c r="BE33" s="59">
        <f>VLOOKUP(AW33,BA$33:BF$44,6,FALSE)</f>
        <v>2.0864086142413942</v>
      </c>
      <c r="BF33" s="67">
        <f t="shared" ref="BF33:BF44" si="20">BT33</f>
        <v>2.0864086142413942</v>
      </c>
      <c r="BG33" s="59">
        <f>IF(ISNUMBER(BE33),BE33,"")</f>
        <v>2.0864086142413942</v>
      </c>
      <c r="BH33" s="678">
        <f>IF(AND(ISNUMBER(BH32),SUM(BG33:BG39)=0,$AW33=100),BH32-BH31+BH32,IF(ISNUMBER(BG33),BG33,IF(AND(ISTEXT(BG33),$AZ33&gt;=10,$AZ33&lt;30),AVERAGE(BG32,BG34),IF(AND($AZ33=30,ISTEXT(BG33),ISNUMBER(BG32),ISNUMBER(BG34)),AVERAGE(BG32,BG34),IF(AND($AZ33=30,ISTEXT(BG33),ISTEXT(BG34)),((BG35-BG32)/3)+BG32,IF(AND($AZ33=30,ISTEXT(BG33),ISTEXT(BG32)),((BG34-BG31)/3)*2+BG31,IF(AND(ISTEXT(BG33),$AZ33&gt;30,$AZ33&lt;40),((BG34-BH32)/2)+BH32,IF(AND(ISTEXT(BG33),ISTEXT(BG34),$AZ33&gt;30),(AVERAGE(BG35:BG39)-BH32)/2+BH32,IF(AND(ISTEXT(BG33),ISTEXT(BG32),$AZ33&gt;=40),ABS(BH32-BG34)/2+MIN(BH32,BG34),"")))))))))</f>
        <v>2.0864086142413942</v>
      </c>
      <c r="BI33" s="59">
        <f>VLOOKUP(AW33,BA$33:BJ$44,10,FALSE)</f>
        <v>1.6408942573992771</v>
      </c>
      <c r="BJ33" s="67">
        <f t="shared" ref="BJ33:BJ42" si="21">BX33</f>
        <v>1.6408942573992771</v>
      </c>
      <c r="BK33" s="59">
        <f>IF(ISNUMBER(BI33),BI33,"")</f>
        <v>1.6408942573992771</v>
      </c>
      <c r="BL33" s="678">
        <f>IF(AND(ISNUMBER(BL32),SUM(BK33:BK39)=0,$AW33=100),BL32-BL31+BL32,IF(ISNUMBER(BK33),BK33,IF(AND(ISTEXT(BK33),$AZ33&gt;=10,$AZ33&lt;30),AVERAGE(BK32,BK34),IF(AND($AZ33=30,ISTEXT(BK33),ISNUMBER(BK32),ISNUMBER(BK34)),AVERAGE(BK32,BK34),IF(AND($AZ33=30,ISTEXT(BK33),ISTEXT(BK34)),((BK35-BK32)/3)+BK32,IF(AND($AZ33=30,ISTEXT(BK33),ISTEXT(BK32)),((BK34-BK31)/3)*2+BK31,IF(AND(ISTEXT(BK33),$AZ33&gt;30,$AZ33&lt;40),((BK34-BL32)/2)+BL32,IF(AND(ISTEXT(BK33),ISTEXT(BK34),$AZ33&gt;30),(AVERAGE(BK35:BK39)-BL32)/2+BL32,IF(AND(ISTEXT(BK33),ISTEXT(BK32),$AZ33&gt;=40),ABS(BL32-BK34)/2+MIN(BL32,BK34),"")))))))))</f>
        <v>1.6408942573992771</v>
      </c>
      <c r="BN33" s="85">
        <f>IF(ISNUMBER(BD33),BD33,"")</f>
        <v>1.1050509318804986</v>
      </c>
      <c r="BO33">
        <f>BH33</f>
        <v>2.0864086142413942</v>
      </c>
      <c r="BP33">
        <f>BL33</f>
        <v>1.6408942573992771</v>
      </c>
      <c r="BQ33" s="184">
        <f>IF(AND(ISNUMBER(C33),ISNUMBER(M33)),(-0.0176+0.022*(C33)+1.0054*(M33/100))*100,"")</f>
        <v>12.233979999999999</v>
      </c>
      <c r="BR33" s="184">
        <f>IF(AND(ISNUMBER(C33),ISNUMBER(M33)),(0.124-0.265*(C33)+0.16*((C33)^2)+1.284*(M33/100))*100,"")</f>
        <v>27.500799999999998</v>
      </c>
      <c r="BS33" s="114">
        <f t="shared" ref="BS33:BS44" si="22">IF(AND(ISNUMBER(C33),ISNUMBER(BR33)),((0.852+0.0012*D12)*1000)/(0.3774+BR33/100),"")</f>
        <v>1366.6294711284961</v>
      </c>
      <c r="BT33" s="184">
        <f>IF(ISNUMBER(BS33),(((BR33/100)-(BQ33/100))*(BS33/1000*10)),"")</f>
        <v>2.0864086142413942</v>
      </c>
      <c r="BU33" s="184">
        <f t="shared" ref="BU33:BU44" si="23">IF(AND(ISNUMBER(C33),ISNUMBER(M33)),(100*(-2.41+0.0566*D12)*(-0.0176+0.022*(C33))+1.0054*(M33)),"")</f>
        <v>14.608968000000001</v>
      </c>
      <c r="BV33" s="184">
        <f t="shared" ref="BV33:BV44" si="24">IF(AND(ISNUMBER(C33),ISNUMBER(M33)),((0.995+0.0011*BG12)*13.2*EXP(-2.845*(C33))+(1.0054+0.0041*D12)*M33),"")</f>
        <v>26.416235689455071</v>
      </c>
      <c r="BW33" s="114">
        <f t="shared" ref="BW33:BW44" si="25">IF(AND(ISNUMBER(C33),ISNUMBER(BV33)),((0.852+0.0012*D12)*1000)/(0.3774+BV33/100),"")</f>
        <v>1389.7324093572811</v>
      </c>
      <c r="BX33" s="336">
        <f>IF(ISNUMBER(BW33),((BV33-BU33)/100*BW33)/1000*10,"")</f>
        <v>1.6408942573992771</v>
      </c>
      <c r="BY33" s="161"/>
      <c r="BZ33" s="161"/>
      <c r="CA33" s="161"/>
      <c r="CB33" s="161"/>
      <c r="CC33" s="161"/>
      <c r="CD33" s="161">
        <f>IF(ISNUMBER(C33),C33*100-120,"")</f>
        <v>-110</v>
      </c>
      <c r="CE33" s="161">
        <f>IF(ISNUMBER(C33),C33*100-100,"")</f>
        <v>-90</v>
      </c>
      <c r="CF33" s="161"/>
      <c r="CG33" s="337">
        <f t="shared" ref="CG33:CG44" si="26">IF(ISNUMBER(E12),(1.34+0.15*E12),"")</f>
        <v>4.25</v>
      </c>
      <c r="CH33" s="337">
        <f t="shared" ref="CH33:CH44" si="27">IF(ISNUMBER(K12),(-1.37+0.42*(K12)),"")</f>
        <v>4.3839999999999995</v>
      </c>
      <c r="CI33" s="337">
        <f t="shared" ref="CI33:CI44" si="28">IF(ISNUMBER(D12),(0.59+0.016*(D12^1.5)),"")</f>
        <v>3.6231290773720799</v>
      </c>
      <c r="CJ33" s="337"/>
      <c r="CK33" s="161"/>
      <c r="CL33" s="337"/>
      <c r="CM33" s="161"/>
    </row>
    <row r="34" spans="1:91">
      <c r="B34" s="247">
        <v>2</v>
      </c>
      <c r="C34" s="1025">
        <f t="shared" si="3"/>
        <v>0.2</v>
      </c>
      <c r="D34" s="1178"/>
      <c r="E34" s="1029" t="str">
        <f t="shared" si="4"/>
        <v/>
      </c>
      <c r="F34" s="1025"/>
      <c r="G34" s="1170">
        <f t="shared" si="5"/>
        <v>4.37</v>
      </c>
      <c r="H34" s="1170"/>
      <c r="I34" s="1170">
        <f t="shared" si="6"/>
        <v>4.6779999999999999</v>
      </c>
      <c r="J34" s="1170"/>
      <c r="K34" s="1170">
        <f t="shared" si="7"/>
        <v>4.0460000000000012</v>
      </c>
      <c r="L34" s="1171"/>
      <c r="M34" s="1175">
        <f t="shared" si="8"/>
        <v>14.4</v>
      </c>
      <c r="N34" s="1026"/>
      <c r="O34" s="1176" t="str">
        <f t="shared" si="9"/>
        <v/>
      </c>
      <c r="P34" s="1170"/>
      <c r="Q34" s="1170">
        <f t="shared" si="10"/>
        <v>54.016000000000005</v>
      </c>
      <c r="R34" s="1171"/>
      <c r="S34" s="1176" t="str">
        <f t="shared" si="11"/>
        <v/>
      </c>
      <c r="T34" s="1170"/>
      <c r="U34" s="1170">
        <f t="shared" si="12"/>
        <v>20.866</v>
      </c>
      <c r="V34" s="1170"/>
      <c r="W34" s="1170">
        <f t="shared" si="13"/>
        <v>23.192</v>
      </c>
      <c r="X34" s="1170"/>
      <c r="Y34" s="1170">
        <f t="shared" si="14"/>
        <v>21.641104000000002</v>
      </c>
      <c r="Z34" s="1170"/>
      <c r="AA34" s="1170">
        <f t="shared" ref="AA34:AA44" si="29">IF(ISNUMBER(C34),AVERAGE(S34:Y34),"")</f>
        <v>21.899701333333336</v>
      </c>
      <c r="AB34" s="1184"/>
      <c r="AC34" s="1029">
        <f t="shared" si="15"/>
        <v>14.4</v>
      </c>
      <c r="AD34" s="1026"/>
      <c r="AE34" s="1180">
        <f t="shared" ref="AE34:AE44" si="30">IF(ISNUMBER(C34),((0.852+0.0012*D13)*1000)/(0.3774+AA34/100),"")</f>
        <v>1501.0135530300888</v>
      </c>
      <c r="AF34" s="1181"/>
      <c r="AG34" s="1177">
        <f t="shared" si="16"/>
        <v>11.257153345011162</v>
      </c>
      <c r="AH34" s="1171"/>
      <c r="AI34" s="420">
        <f t="shared" ref="AI34:AI44" si="31">IF(ISNUMBER($C34),IF(AND(ISNUMBER(BQ34),$B34&lt;=$CE$45),BQ34,""),"")</f>
        <v>13.157760000000005</v>
      </c>
      <c r="AJ34" s="418">
        <f t="shared" ref="AJ34:AJ44" si="32">IF(ISNUMBER($C34),IF(AND(ISNUMBER(BR34),$B34&lt;=$CE$45),BR34,""),"")</f>
        <v>26.229600000000001</v>
      </c>
      <c r="AK34" s="92">
        <f t="shared" ref="AK34:AK44" si="33">IF(ISNUMBER($C34),IF(AND(ISNUMBER(BS34),$B34&lt;=$CE$45),BS34,""),"")</f>
        <v>1399.4147219929466</v>
      </c>
      <c r="AL34" s="630">
        <f t="shared" si="17"/>
        <v>18.292925339536275</v>
      </c>
      <c r="AM34" s="655">
        <f t="shared" si="18"/>
        <v>14.969328000000003</v>
      </c>
      <c r="AN34" s="653">
        <f t="shared" ref="AN34:AN40" si="34">IF(ISNUMBER($C34),IF(AND(ISNUMBER(BV34),$B34&lt;=$CD$45),BV34,""),"")</f>
        <v>24.728692610170548</v>
      </c>
      <c r="AO34" s="92">
        <f t="shared" ref="AO34:AO40" si="35">IF(ISNUMBER($C34),IF(AND(ISNUMBER(BW34),$B34&lt;=$CD$45),BW34,""),"")</f>
        <v>1433.037834786144</v>
      </c>
      <c r="AP34" s="654">
        <f t="shared" ref="AP34:AP40" si="36">IF(ISNUMBER($C34),IF(AND(ISNUMBER(BX34),$B34&lt;=$CD$45),IF($X$7="cm",BX34,IF($X$7="mm",BX34*10,"")),""),"")</f>
        <v>13.985538729847322</v>
      </c>
      <c r="AQ34" s="625">
        <v>0.2</v>
      </c>
      <c r="AR34" s="629">
        <f t="shared" ref="AR34:AR42" si="37">IF(AND(ISNUMBER(BN34),$X$7="cm"),BN34,IF(AND(ISNUMBER(BN34),$X$7="mm"),BN34*10,""))</f>
        <v>22.307662663816146</v>
      </c>
      <c r="AS34" s="629">
        <f t="shared" si="19"/>
        <v>39.157011481950221</v>
      </c>
      <c r="AT34" s="630">
        <f t="shared" si="19"/>
        <v>30.394481303840095</v>
      </c>
      <c r="AU34" s="111"/>
      <c r="AV34" s="338"/>
      <c r="AW34" s="91">
        <v>20</v>
      </c>
      <c r="AX34" s="91">
        <f t="shared" ref="AX34:AX44" si="38">C34*100</f>
        <v>20</v>
      </c>
      <c r="AY34" s="59">
        <f>VLOOKUP(AW34,BA$33:BB$44,2,FALSE)</f>
        <v>1.1257153345011162</v>
      </c>
      <c r="AZ34" s="59">
        <f>IF(AND(ISNUMBER(C34),ISNUMBER(C33)),C34*100-C33*100,AZ33)</f>
        <v>10</v>
      </c>
      <c r="BA34" s="91">
        <f t="shared" ref="BA34:BA46" si="39">ROUND(C34*10,0)*10</f>
        <v>20</v>
      </c>
      <c r="BB34" s="85">
        <f>IF(AND(ISNUMBER(C34),ISNUMBER(M34)),(((AA34/100)-(AC34/100))*(AE34/1000*10)),"")</f>
        <v>1.1257153345011162</v>
      </c>
      <c r="BC34" s="59">
        <f t="shared" ref="BC34:BC44" si="40">IF(ISNUMBER(AY34),AY34,"")</f>
        <v>1.1257153345011162</v>
      </c>
      <c r="BD34" s="678">
        <f>IF(AND(ISNUMBER(BD33),SUM(BC34:BC40)=0,$AW34=100),BD33-BD32+BD33,IF(ISNUMBER(BC34),BC34,IF(AND(ISTEXT(BC34),$AZ34&gt;=10,$AZ34&lt;30),AVERAGE(BC33,BC35),IF(AND($AZ34=30,ISTEXT(BC34),ISNUMBER(BC33),ISNUMBER(BC35)),AVERAGE(BC33,BC35),IF(AND($AZ34=30,ISTEXT(BC34),ISTEXT(BC35)),((BC36-BC33)/3)+BC33,IF(AND($AZ34=30,ISTEXT(BC34),ISTEXT(BC33)),((BC35-BC32)/3)*2+BC32,IF(AND(ISTEXT(BC34),$AZ34&gt;30,$AZ34&lt;40),((BC35-BD33)/2)+BD33,IF(AND(ISTEXT(BC34),ISTEXT(BC35),$AZ34&gt;30),(AVERAGE(BC36:BC40)-BD33)/2+BD33,IF(AND(ISTEXT(BC34),ISTEXT(BC33),$AZ34&gt;=40),ABS(BD33-BC35)/2+MIN(BD33,BC35),"")))))))))</f>
        <v>1.1257153345011162</v>
      </c>
      <c r="BE34" s="160">
        <f t="shared" ref="BE34:BE47" si="41">VLOOKUP(AW34,BA$33:BF$44,6,FALSE)</f>
        <v>1.8292925339536277</v>
      </c>
      <c r="BF34" s="67">
        <f t="shared" si="20"/>
        <v>1.8292925339536277</v>
      </c>
      <c r="BG34" s="59">
        <f t="shared" ref="BG34:BG44" si="42">IF(ISNUMBER(BE34),BE34,"")</f>
        <v>1.8292925339536277</v>
      </c>
      <c r="BH34" s="678">
        <f>IF(AND(ISNUMBER(BH33),SUM(BG34:BG40)=0,$AW34=100),BH33-BH32+BH33,IF(ISNUMBER(BG34),BG34,IF(AND(ISTEXT(BG34),$AZ34&gt;=10,$AZ34&lt;30),AVERAGE(BG33,BG35),IF(AND($AZ34=30,ISTEXT(BG34),ISNUMBER(BG33),ISNUMBER(BG35)),AVERAGE(BG33,BG35),IF(AND($AZ34=30,ISTEXT(BG34),ISTEXT(BG35)),((BG36-BG33)/3)+BG33,IF(AND($AZ34=30,ISTEXT(BG34),ISTEXT(BG33)),((BG35-BG32)/3)*2+BG32,IF(AND(ISTEXT(BG34),$AZ34&gt;30,$AZ34&lt;40),((BG35-BH33)/2)+BH33,IF(AND(ISTEXT(BG34),ISTEXT(BG35),$AZ34&gt;30),(AVERAGE(BG36:BG40)-BH33)/2+BH33,IF(AND(ISTEXT(BG34),ISTEXT(BG33),$AZ34&gt;=40),ABS(BH33-BG35)/2+MIN(BH33,BG35),"")))))))))</f>
        <v>1.8292925339536277</v>
      </c>
      <c r="BI34" s="160">
        <f t="shared" ref="BI34:BI46" si="43">VLOOKUP(AW34,BA$33:BJ$44,10,FALSE)</f>
        <v>1.3985538729847322</v>
      </c>
      <c r="BJ34" s="67">
        <f t="shared" si="21"/>
        <v>1.3985538729847322</v>
      </c>
      <c r="BK34" s="59">
        <f t="shared" ref="BK34:BK47" si="44">IF(ISNUMBER(BI34),BI34,"")</f>
        <v>1.3985538729847322</v>
      </c>
      <c r="BL34" s="678">
        <f>IF(AND(ISNUMBER(BL33),SUM(BK34:BK40)=0,$AW34=100),BL33-BL32+BL33,IF(ISNUMBER(BK34),BK34,IF(AND(ISTEXT(BK34),$AZ34&gt;=10,$AZ34&lt;30),AVERAGE(BK33,BK35),IF(AND($AZ34=30,ISTEXT(BK34),ISNUMBER(BK33),ISNUMBER(BK35)),AVERAGE(BK33,BK35),IF(AND($AZ34=30,ISTEXT(BK34),ISTEXT(BK35)),((BK36-BK33)/3)+BK33,IF(AND($AZ34=30,ISTEXT(BK34),ISTEXT(BK33)),((BK35-BK32)/3)*2+BK32,IF(AND(ISTEXT(BK34),$AZ34&gt;30,$AZ34&lt;40),((BK35-BL33)/2)+BL33,IF(AND(ISTEXT(BK34),ISTEXT(BK35),$AZ34&gt;30),(AVERAGE(BK36:BK40)-BL33)/2+BL33,IF(AND(ISTEXT(BK34),ISTEXT(BK33),$AZ34&gt;=40),ABS(BL33-BK35)/2+MIN(BL33,BK35),"")))))))))</f>
        <v>1.3985538729847322</v>
      </c>
      <c r="BN34" s="85">
        <f>BN33+BD34</f>
        <v>2.2307662663816146</v>
      </c>
      <c r="BO34">
        <f>BO33+BH34</f>
        <v>3.9157011481950219</v>
      </c>
      <c r="BP34">
        <f>BP33+BL34</f>
        <v>3.0394481303840095</v>
      </c>
      <c r="BQ34" s="184">
        <f t="shared" ref="BQ34:BQ44" si="45">IF(AND(ISNUMBER(C34),ISNUMBER(M34)),(-0.0176+0.022*(C34)+1.0054*(M34/100))*100,"")</f>
        <v>13.157760000000005</v>
      </c>
      <c r="BR34" s="184">
        <f t="shared" ref="BR34:BR44" si="46">IF(AND(ISNUMBER(C34),ISNUMBER(M34)),(0.124-0.265*(C34)+0.16*((C34)^2)+1.284*(M34/100))*100,"")</f>
        <v>26.229600000000001</v>
      </c>
      <c r="BS34" s="114">
        <f t="shared" si="22"/>
        <v>1399.4147219929466</v>
      </c>
      <c r="BT34" s="184">
        <f t="shared" ref="BT34:BT44" si="47">IF(ISNUMBER(BS34),(((BR34/100)-(BQ34/100))*(BS34/1000*10)),"")</f>
        <v>1.8292925339536277</v>
      </c>
      <c r="BU34" s="184">
        <f t="shared" si="23"/>
        <v>14.969328000000003</v>
      </c>
      <c r="BV34" s="184">
        <f t="shared" si="24"/>
        <v>24.728692610170548</v>
      </c>
      <c r="BW34" s="114">
        <f t="shared" si="25"/>
        <v>1433.037834786144</v>
      </c>
      <c r="BX34" s="336">
        <f t="shared" ref="BX34:BX44" si="48">IF(ISNUMBER(BW34),((BV34-BU34)/100*BW34)/1000*10,"")</f>
        <v>1.3985538729847322</v>
      </c>
      <c r="BY34" s="161"/>
      <c r="BZ34" s="161"/>
      <c r="CA34" s="161"/>
      <c r="CB34" s="161"/>
      <c r="CC34" s="161"/>
      <c r="CD34" s="161">
        <f t="shared" ref="CD34:CD43" si="49">IF(ISNUMBER(C34),C34*100-120,"")</f>
        <v>-100</v>
      </c>
      <c r="CE34" s="161">
        <f t="shared" ref="CE34:CE44" si="50">IF(ISNUMBER(C34),C34*100-100,"")</f>
        <v>-80</v>
      </c>
      <c r="CF34" s="161"/>
      <c r="CG34" s="337">
        <f t="shared" si="26"/>
        <v>4.37</v>
      </c>
      <c r="CH34" s="337">
        <f t="shared" si="27"/>
        <v>4.6779999999999999</v>
      </c>
      <c r="CI34" s="337">
        <f t="shared" si="28"/>
        <v>4.0460000000000012</v>
      </c>
      <c r="CJ34" s="337"/>
      <c r="CK34" s="161"/>
      <c r="CL34" s="337"/>
      <c r="CM34" s="161"/>
    </row>
    <row r="35" spans="1:91">
      <c r="B35" s="247">
        <v>3</v>
      </c>
      <c r="C35" s="1025">
        <f t="shared" si="3"/>
        <v>0.3</v>
      </c>
      <c r="D35" s="1178"/>
      <c r="E35" s="1029" t="str">
        <f t="shared" si="4"/>
        <v/>
      </c>
      <c r="F35" s="1025"/>
      <c r="G35" s="1170">
        <f t="shared" si="5"/>
        <v>4.67</v>
      </c>
      <c r="H35" s="1170"/>
      <c r="I35" s="1170">
        <f t="shared" si="6"/>
        <v>4.8879999999999999</v>
      </c>
      <c r="J35" s="1170"/>
      <c r="K35" s="1170">
        <f t="shared" si="7"/>
        <v>4.0460000000000012</v>
      </c>
      <c r="L35" s="1171"/>
      <c r="M35" s="1175">
        <f t="shared" si="8"/>
        <v>14.9</v>
      </c>
      <c r="N35" s="1026"/>
      <c r="O35" s="1176" t="str">
        <f t="shared" si="9"/>
        <v/>
      </c>
      <c r="P35" s="1170"/>
      <c r="Q35" s="1170">
        <f t="shared" si="10"/>
        <v>56.076000000000001</v>
      </c>
      <c r="R35" s="1171"/>
      <c r="S35" s="1176" t="str">
        <f t="shared" si="11"/>
        <v/>
      </c>
      <c r="T35" s="1170"/>
      <c r="U35" s="1170">
        <f t="shared" si="12"/>
        <v>21.725999999999999</v>
      </c>
      <c r="V35" s="1170"/>
      <c r="W35" s="1170">
        <f t="shared" si="13"/>
        <v>23.807000000000002</v>
      </c>
      <c r="X35" s="1170"/>
      <c r="Y35" s="1170">
        <f t="shared" si="14"/>
        <v>21.641104000000002</v>
      </c>
      <c r="Z35" s="1170"/>
      <c r="AA35" s="1170">
        <f t="shared" si="29"/>
        <v>22.391368</v>
      </c>
      <c r="AB35" s="1184"/>
      <c r="AC35" s="1029">
        <f t="shared" si="15"/>
        <v>14.9</v>
      </c>
      <c r="AD35" s="1026"/>
      <c r="AE35" s="1180">
        <f t="shared" si="30"/>
        <v>1488.7404524041428</v>
      </c>
      <c r="AF35" s="1181"/>
      <c r="AG35" s="1177">
        <f t="shared" si="16"/>
        <v>11.152702585445919</v>
      </c>
      <c r="AH35" s="1171"/>
      <c r="AI35" s="420">
        <f t="shared" si="31"/>
        <v>13.880459999999999</v>
      </c>
      <c r="AJ35" s="418">
        <f t="shared" si="32"/>
        <v>25.021599999999999</v>
      </c>
      <c r="AK35" s="92">
        <f t="shared" si="33"/>
        <v>1426.3498699841944</v>
      </c>
      <c r="AL35" s="630">
        <f t="shared" si="17"/>
        <v>15.891163590475706</v>
      </c>
      <c r="AM35" s="655">
        <f t="shared" si="18"/>
        <v>15.3901</v>
      </c>
      <c r="AN35" s="653">
        <f t="shared" si="34"/>
        <v>23.163370260675531</v>
      </c>
      <c r="AO35" s="92">
        <f t="shared" si="35"/>
        <v>1469.8693950242985</v>
      </c>
      <c r="AP35" s="654">
        <f t="shared" si="36"/>
        <v>11.425692055419514</v>
      </c>
      <c r="AQ35" s="625">
        <v>0.3</v>
      </c>
      <c r="AR35" s="629">
        <f t="shared" si="37"/>
        <v>33.460365249262061</v>
      </c>
      <c r="AS35" s="629">
        <f t="shared" si="19"/>
        <v>55.04817507242592</v>
      </c>
      <c r="AT35" s="630">
        <f t="shared" si="19"/>
        <v>41.820173359259613</v>
      </c>
      <c r="AU35" s="111"/>
      <c r="AV35" s="338"/>
      <c r="AW35" s="91">
        <v>30</v>
      </c>
      <c r="AX35" s="91">
        <f t="shared" si="38"/>
        <v>30</v>
      </c>
      <c r="AY35" s="59">
        <f>VLOOKUP(AW35,BA$33:BB$44,2,FALSE)</f>
        <v>1.1152702585445919</v>
      </c>
      <c r="AZ35" s="160">
        <f t="shared" ref="AZ35:AZ46" si="51">IF(AND(ISNUMBER(C35),ISNUMBER(C34)),C35*100-C34*100,AZ34)</f>
        <v>10</v>
      </c>
      <c r="BA35" s="91">
        <f t="shared" si="39"/>
        <v>30</v>
      </c>
      <c r="BB35" s="85">
        <f t="shared" ref="BB35:BB45" si="52">IF(AND(ISNUMBER(C35),ISNUMBER(M35)),(((AA35/100)-(AC35/100))*(AE35/1000*10)),"")</f>
        <v>1.1152702585445919</v>
      </c>
      <c r="BC35" s="59">
        <f t="shared" si="40"/>
        <v>1.1152702585445919</v>
      </c>
      <c r="BD35" s="678">
        <f>IF(AND(ISNUMBER(BD34),SUM(BC35:BC41)=0,$AW35=100),BD34-BD33+BD34,IF(ISNUMBER(BC35),BC35,IF(AND(ISTEXT(BC35),$AZ35&gt;=10,$AZ35&lt;30),AVERAGE(BC34,BC36),IF(AND($AZ35=30,ISTEXT(BC35),ISNUMBER(BC34),ISNUMBER(BC36)),AVERAGE(BC34,BC36),IF(AND($AZ35=30,ISTEXT(BC35),ISTEXT(BC36)),((BC37-BC34)/3)+BC34,IF(AND($AZ35=30,ISTEXT(BC35),ISTEXT(BC34)),((BC36-BC33)/3)*2+BC33,IF(AND(ISTEXT(BC35),$AZ35&gt;30,$AZ35&lt;40),((BC36-BD34)/2)+BD34,IF(AND(ISTEXT(BC35),ISTEXT(BC36),$AZ35&gt;30),(AVERAGE(BC37:BC41)-BD34)/2+BD34,IF(AND(ISTEXT(BC35),ISTEXT(BC34),$AZ35&gt;=40),ABS(BD34-BC36)/2+MIN(BD34,BC36),"")))))))))</f>
        <v>1.1152702585445919</v>
      </c>
      <c r="BE35" s="160">
        <f t="shared" si="41"/>
        <v>1.5891163590475705</v>
      </c>
      <c r="BF35" s="67">
        <f t="shared" si="20"/>
        <v>1.5891163590475705</v>
      </c>
      <c r="BG35" s="59">
        <f t="shared" si="42"/>
        <v>1.5891163590475705</v>
      </c>
      <c r="BH35" s="678">
        <f>IF(AND(ISNUMBER(BH34),SUM(BG35:BG41)=0,$AW35=100),BH34-BH33+BH34,IF(ISNUMBER(BG35),BG35,IF(AND(ISTEXT(BG35),$AZ35&gt;=10,$AZ35&lt;30),AVERAGE(BG34,BG36),IF(AND($AZ35=30,ISTEXT(BG35),ISNUMBER(BG34),ISNUMBER(BG36)),AVERAGE(BG34,BG36),IF(AND($AZ35=30,ISTEXT(BG35),ISTEXT(BG36)),((BG37-BG34)/3)+BG34,IF(AND($AZ35=30,ISTEXT(BG35),ISTEXT(BG34)),((BG36-BG33)/3)*2+BG33,IF(AND(ISTEXT(BG35),$AZ35&gt;30,$AZ35&lt;40),((BG36-BH34)/2)+BH34,IF(AND(ISTEXT(BG35),ISTEXT(BG36),$AZ35&gt;30),(AVERAGE(BG37:BG41)-BH34)/2+BH34,IF(AND(ISTEXT(BG35),ISTEXT(BG34),$AZ35&gt;=40),ABS(BH34-BG36)/2+MIN(BH34,BG36),"")))))))))</f>
        <v>1.5891163590475705</v>
      </c>
      <c r="BI35" s="160">
        <f t="shared" si="43"/>
        <v>1.1425692055419514</v>
      </c>
      <c r="BJ35" s="67">
        <f t="shared" si="21"/>
        <v>1.1425692055419514</v>
      </c>
      <c r="BK35" s="59">
        <f t="shared" si="44"/>
        <v>1.1425692055419514</v>
      </c>
      <c r="BL35" s="678">
        <f>IF(AND(ISNUMBER(BL34),SUM(BK35:BK41)=0,$AW35=100),BL34-BL33+BL34,IF(ISNUMBER(BK35),BK35,IF(AND(ISTEXT(BK35),$AZ35&gt;=10,$AZ35&lt;30),AVERAGE(BK34,BK36),IF(AND($AZ35=30,ISTEXT(BK35),ISNUMBER(BK34),ISNUMBER(BK36)),AVERAGE(BK34,BK36),IF(AND($AZ35=30,ISTEXT(BK35),ISTEXT(BK36)),((BK37-BK34)/3)+BK34,IF(AND($AZ35=30,ISTEXT(BK35),ISTEXT(BK34)),((BK36-BK33)/3)*2+BK33,IF(AND(ISTEXT(BK35),$AZ35&gt;30,$AZ35&lt;40),((BK36-BL34)/2)+BL34,IF(AND(ISTEXT(BK35),ISTEXT(BK36),$AZ35&gt;30),(AVERAGE(BK37:BK41)-BL34)/2+BL34,IF(AND(ISTEXT(BK35),ISTEXT(BK34),$AZ35&gt;=40),ABS(BL34-BK36)/2+MIN(BL34,BK36),"")))))))))</f>
        <v>1.1425692055419514</v>
      </c>
      <c r="BN35" s="85">
        <f t="shared" ref="BN35:BN41" si="53">BN34+BD35</f>
        <v>3.3460365249262063</v>
      </c>
      <c r="BO35" s="59">
        <f t="shared" ref="BO35:BO42" si="54">BO34+BH35</f>
        <v>5.504817507242592</v>
      </c>
      <c r="BP35" s="59">
        <f t="shared" ref="BP35:BP42" si="55">BP34+BL35</f>
        <v>4.1820173359259609</v>
      </c>
      <c r="BQ35" s="184">
        <f t="shared" si="45"/>
        <v>13.880459999999999</v>
      </c>
      <c r="BR35" s="184">
        <f t="shared" si="46"/>
        <v>25.021599999999999</v>
      </c>
      <c r="BS35" s="114">
        <f t="shared" si="22"/>
        <v>1426.3498699841944</v>
      </c>
      <c r="BT35" s="184">
        <f t="shared" si="47"/>
        <v>1.5891163590475705</v>
      </c>
      <c r="BU35" s="184">
        <f t="shared" si="23"/>
        <v>15.3901</v>
      </c>
      <c r="BV35" s="184">
        <f t="shared" si="24"/>
        <v>23.163370260675531</v>
      </c>
      <c r="BW35" s="114">
        <f t="shared" si="25"/>
        <v>1469.8693950242985</v>
      </c>
      <c r="BX35" s="336">
        <f t="shared" si="48"/>
        <v>1.1425692055419514</v>
      </c>
      <c r="BY35" s="161"/>
      <c r="BZ35" s="161"/>
      <c r="CA35" s="161"/>
      <c r="CB35" s="161"/>
      <c r="CC35" s="161"/>
      <c r="CD35" s="161">
        <f t="shared" si="49"/>
        <v>-90</v>
      </c>
      <c r="CE35" s="161">
        <f t="shared" si="50"/>
        <v>-70</v>
      </c>
      <c r="CF35" s="161"/>
      <c r="CG35" s="337">
        <f t="shared" si="26"/>
        <v>4.67</v>
      </c>
      <c r="CH35" s="337">
        <f t="shared" si="27"/>
        <v>4.8879999999999999</v>
      </c>
      <c r="CI35" s="337">
        <f t="shared" si="28"/>
        <v>4.0460000000000012</v>
      </c>
      <c r="CJ35" s="337"/>
      <c r="CK35" s="161"/>
      <c r="CL35" s="337"/>
      <c r="CM35" s="161"/>
    </row>
    <row r="36" spans="1:91">
      <c r="B36" s="247">
        <v>4</v>
      </c>
      <c r="C36" s="1025">
        <f t="shared" si="3"/>
        <v>0.6</v>
      </c>
      <c r="D36" s="1178"/>
      <c r="E36" s="1029" t="str">
        <f t="shared" si="4"/>
        <v/>
      </c>
      <c r="F36" s="1025"/>
      <c r="G36" s="1170">
        <f t="shared" si="5"/>
        <v>6.5149999999999997</v>
      </c>
      <c r="H36" s="1170"/>
      <c r="I36" s="1170">
        <f t="shared" si="6"/>
        <v>4.3419999999999996</v>
      </c>
      <c r="J36" s="1170"/>
      <c r="K36" s="1170">
        <f t="shared" si="7"/>
        <v>3.3516111239636919</v>
      </c>
      <c r="L36" s="1171"/>
      <c r="M36" s="1175">
        <f t="shared" si="8"/>
        <v>13.6</v>
      </c>
      <c r="N36" s="1026"/>
      <c r="O36" s="1176" t="str">
        <f t="shared" si="9"/>
        <v/>
      </c>
      <c r="P36" s="1170"/>
      <c r="Q36" s="1170">
        <f t="shared" si="10"/>
        <v>68.745000000000005</v>
      </c>
      <c r="R36" s="1171"/>
      <c r="S36" s="1176" t="str">
        <f t="shared" si="11"/>
        <v/>
      </c>
      <c r="T36" s="1170"/>
      <c r="U36" s="1170">
        <f t="shared" si="12"/>
        <v>27.015000000000001</v>
      </c>
      <c r="V36" s="1170"/>
      <c r="W36" s="1170">
        <f t="shared" si="13"/>
        <v>22.207999999999998</v>
      </c>
      <c r="X36" s="1170"/>
      <c r="Y36" s="1170">
        <f t="shared" si="14"/>
        <v>19.070689000000002</v>
      </c>
      <c r="Z36" s="1170"/>
      <c r="AA36" s="1170">
        <f t="shared" si="29"/>
        <v>22.764562999999999</v>
      </c>
      <c r="AB36" s="1184"/>
      <c r="AC36" s="1029">
        <f t="shared" si="15"/>
        <v>13.6</v>
      </c>
      <c r="AD36" s="1026"/>
      <c r="AE36" s="1180">
        <f t="shared" si="30"/>
        <v>1469.6412235883763</v>
      </c>
      <c r="AF36" s="1181"/>
      <c r="AG36" s="1177">
        <f t="shared" si="16"/>
        <v>13.468619580972758</v>
      </c>
      <c r="AH36" s="1171"/>
      <c r="AI36" s="420">
        <f t="shared" si="31"/>
        <v>13.23344</v>
      </c>
      <c r="AJ36" s="418">
        <f t="shared" si="32"/>
        <v>19.7224</v>
      </c>
      <c r="AK36" s="92">
        <f t="shared" si="33"/>
        <v>1547.4466781756419</v>
      </c>
      <c r="AL36" s="630">
        <f t="shared" si="17"/>
        <v>10.041319596814617</v>
      </c>
      <c r="AM36" s="655">
        <f t="shared" si="18"/>
        <v>13.961816000000001</v>
      </c>
      <c r="AN36" s="653">
        <f t="shared" si="34"/>
        <v>17.950574378699102</v>
      </c>
      <c r="AO36" s="92">
        <f t="shared" si="35"/>
        <v>1596.6795277660253</v>
      </c>
      <c r="AP36" s="654">
        <f t="shared" si="36"/>
        <v>6.368768844474058</v>
      </c>
      <c r="AQ36" s="625">
        <v>0.4</v>
      </c>
      <c r="AR36" s="629">
        <f t="shared" si="37"/>
        <v>45.385040166550262</v>
      </c>
      <c r="AS36" s="629">
        <f t="shared" si="19"/>
        <v>68.989390665014596</v>
      </c>
      <c r="AT36" s="630">
        <f t="shared" si="19"/>
        <v>51.560224344363974</v>
      </c>
      <c r="AU36" s="111"/>
      <c r="AV36" s="338"/>
      <c r="AW36" s="91">
        <v>40</v>
      </c>
      <c r="AX36" s="91">
        <f t="shared" si="38"/>
        <v>60</v>
      </c>
      <c r="AY36" s="59" t="e">
        <f t="shared" ref="AY36:AY47" si="56">VLOOKUP(AW36,BA$33:BB$44,2,FALSE)</f>
        <v>#N/A</v>
      </c>
      <c r="AZ36" s="160">
        <f t="shared" si="51"/>
        <v>30</v>
      </c>
      <c r="BA36" s="91">
        <f t="shared" si="39"/>
        <v>60</v>
      </c>
      <c r="BB36" s="85">
        <f t="shared" si="52"/>
        <v>1.3468619580972758</v>
      </c>
      <c r="BC36" s="59" t="str">
        <f t="shared" si="40"/>
        <v/>
      </c>
      <c r="BD36" s="678">
        <f>IF(AND(ISNUMBER(BD35),SUM(BC36:BC42)=0,$AW36=100),BD35-BD34+BD35,IF(ISNUMBER(BC36),BC36,IF(AND(ISTEXT(BC36),$AZ36&gt;=10,$AZ36&lt;30),AVERAGE(BC35,BC37),IF(AND($AZ36=30,ISTEXT(BC36),ISNUMBER(BC35),ISNUMBER(BC37)),AVERAGE(BC35,BC37),IF(AND($AZ36=30,ISTEXT(BC36),ISTEXT(BC37)),((BC38-BC35)/3)+BC35,IF(AND($AZ36=30,ISTEXT(BC36),ISTEXT(BC35)),((BC37-BC34)/3)*2+BC34,IF(AND(ISTEXT(BC36),$AZ36&gt;30,$AZ36&lt;40),((BC37-BD35)/2)+BD35,IF(AND(ISTEXT(BC36),ISTEXT(BC37),$AZ36&gt;30),(AVERAGE(BC38:BC42)-BD35)/2+BD35,IF(AND(ISTEXT(BC36),ISTEXT(BC35),$AZ36&gt;=40),ABS(BD35-BC37)/2+MIN(BD35,BC37),"")))))))))</f>
        <v>1.1924674917288198</v>
      </c>
      <c r="BE36" s="160" t="e">
        <f t="shared" si="41"/>
        <v>#N/A</v>
      </c>
      <c r="BF36" s="67">
        <f t="shared" si="20"/>
        <v>1.0041319596814617</v>
      </c>
      <c r="BG36" s="59" t="str">
        <f t="shared" si="42"/>
        <v/>
      </c>
      <c r="BH36" s="678">
        <f>IF(AND(ISNUMBER(BH35),SUM(BG36:BG42)=0,$AW36=100),BH35-BH34+BH35,IF(ISNUMBER(BG36),BG36,IF(AND(ISTEXT(BG36),$AZ36&gt;=10,$AZ36&lt;30),AVERAGE(BG35,BG37),IF(AND($AZ36=30,ISTEXT(BG36),ISNUMBER(BG35),ISNUMBER(BG37)),AVERAGE(BG35,BG37),IF(AND($AZ36=30,ISTEXT(BG36),ISTEXT(BG37)),((BG38-BG35)/3)+BG35,IF(AND($AZ36=30,ISTEXT(BG36),ISTEXT(BG35)),((BG37-BG34)/3)*2+BG34,IF(AND(ISTEXT(BG36),$AZ36&gt;30,$AZ36&lt;40),((BG37-BH35)/2)+BH35,IF(AND(ISTEXT(BG36),ISTEXT(BG37),$AZ36&gt;30),(AVERAGE(BG38:BG42)-BH35)/2+BH35,IF(AND(ISTEXT(BG36),ISTEXT(BG35),$AZ36&gt;=40),ABS(BH35-BG37)/2+MIN(BH35,BG37),"")))))))))</f>
        <v>1.3941215592588676</v>
      </c>
      <c r="BI36" s="160" t="e">
        <f t="shared" si="43"/>
        <v>#N/A</v>
      </c>
      <c r="BJ36" s="67">
        <f t="shared" si="21"/>
        <v>0.63687688444740576</v>
      </c>
      <c r="BK36" s="59" t="str">
        <f t="shared" si="44"/>
        <v/>
      </c>
      <c r="BL36" s="678">
        <f>IF(AND(ISNUMBER(BL35),SUM(BK36:BK42)=0,$AW36=100),BL35-BL34+BL35,IF(ISNUMBER(BK36),BK36,IF(AND(ISTEXT(BK36),$AZ36&gt;=10,$AZ36&lt;30),AVERAGE(BK35,BK37),IF(AND($AZ36=30,ISTEXT(BK36),ISNUMBER(BK35),ISNUMBER(BK37)),AVERAGE(BK35,BK37),IF(AND($AZ36=30,ISTEXT(BK36),ISTEXT(BK37)),((BK38-BK35)/3)+BK35,IF(AND($AZ36=30,ISTEXT(BK36),ISTEXT(BK35)),((BK37-BK34)/3)*2+BK34,IF(AND(ISTEXT(BK36),$AZ36&gt;30,$AZ36&lt;40),((BK37-BL35)/2)+BL35,IF(AND(ISTEXT(BK36),ISTEXT(BK37),$AZ36&gt;30),(AVERAGE(BK38:BK42)-BL35)/2+BL35,IF(AND(ISTEXT(BK36),ISTEXT(BK35),$AZ36&gt;=40),ABS(BL35-BK37)/2+MIN(BL35,BK37),"")))))))))</f>
        <v>0.97400509851043615</v>
      </c>
      <c r="BN36" s="85">
        <f t="shared" si="53"/>
        <v>4.5385040166550263</v>
      </c>
      <c r="BO36" s="59">
        <f t="shared" si="54"/>
        <v>6.8989390665014598</v>
      </c>
      <c r="BP36" s="59">
        <f t="shared" si="55"/>
        <v>5.1560224344363972</v>
      </c>
      <c r="BQ36" s="184">
        <f t="shared" si="45"/>
        <v>13.23344</v>
      </c>
      <c r="BR36" s="184">
        <f t="shared" si="46"/>
        <v>19.7224</v>
      </c>
      <c r="BS36" s="114">
        <f t="shared" si="22"/>
        <v>1547.4466781756419</v>
      </c>
      <c r="BT36" s="184">
        <f t="shared" si="47"/>
        <v>1.0041319596814617</v>
      </c>
      <c r="BU36" s="184">
        <f t="shared" si="23"/>
        <v>13.961816000000001</v>
      </c>
      <c r="BV36" s="184">
        <f t="shared" si="24"/>
        <v>17.950574378699102</v>
      </c>
      <c r="BW36" s="114">
        <f t="shared" si="25"/>
        <v>1596.6795277660253</v>
      </c>
      <c r="BX36" s="336">
        <f t="shared" si="48"/>
        <v>0.63687688444740576</v>
      </c>
      <c r="BY36" s="161"/>
      <c r="BZ36" s="161"/>
      <c r="CA36" s="161"/>
      <c r="CB36" s="161"/>
      <c r="CC36" s="161"/>
      <c r="CD36" s="161">
        <f t="shared" si="49"/>
        <v>-60</v>
      </c>
      <c r="CE36" s="161">
        <f t="shared" si="50"/>
        <v>-40</v>
      </c>
      <c r="CF36" s="161"/>
      <c r="CG36" s="337">
        <f t="shared" si="26"/>
        <v>6.5149999999999997</v>
      </c>
      <c r="CH36" s="337">
        <f t="shared" si="27"/>
        <v>4.3419999999999996</v>
      </c>
      <c r="CI36" s="337">
        <f t="shared" si="28"/>
        <v>3.3516111239636919</v>
      </c>
      <c r="CJ36" s="337"/>
      <c r="CK36" s="161"/>
      <c r="CL36" s="337"/>
      <c r="CM36" s="161"/>
    </row>
    <row r="37" spans="1:91">
      <c r="B37" s="247">
        <v>5</v>
      </c>
      <c r="C37" s="1025">
        <f t="shared" si="3"/>
        <v>0.9</v>
      </c>
      <c r="D37" s="1178"/>
      <c r="E37" s="1029" t="str">
        <f t="shared" si="4"/>
        <v/>
      </c>
      <c r="F37" s="1025"/>
      <c r="G37" s="1170">
        <f t="shared" si="5"/>
        <v>6.9499999999999993</v>
      </c>
      <c r="H37" s="1170"/>
      <c r="I37" s="1170">
        <f t="shared" si="6"/>
        <v>4.1739999999999995</v>
      </c>
      <c r="J37" s="1170"/>
      <c r="K37" s="1170">
        <f t="shared" si="7"/>
        <v>3.2190682760247968</v>
      </c>
      <c r="L37" s="1171"/>
      <c r="M37" s="1175">
        <f t="shared" si="8"/>
        <v>13.2</v>
      </c>
      <c r="N37" s="1026"/>
      <c r="O37" s="1176" t="str">
        <f t="shared" si="9"/>
        <v/>
      </c>
      <c r="P37" s="1170"/>
      <c r="Q37" s="1170">
        <f t="shared" si="10"/>
        <v>71.731999999999999</v>
      </c>
      <c r="R37" s="1171"/>
      <c r="S37" s="1176" t="str">
        <f t="shared" si="11"/>
        <v/>
      </c>
      <c r="T37" s="1170"/>
      <c r="U37" s="1170">
        <f t="shared" si="12"/>
        <v>28.262</v>
      </c>
      <c r="V37" s="1170"/>
      <c r="W37" s="1170">
        <f t="shared" si="13"/>
        <v>21.716000000000001</v>
      </c>
      <c r="X37" s="1170"/>
      <c r="Y37" s="1170">
        <f t="shared" si="14"/>
        <v>18.576100000000004</v>
      </c>
      <c r="Z37" s="1170"/>
      <c r="AA37" s="1170">
        <f t="shared" si="29"/>
        <v>22.851366666666667</v>
      </c>
      <c r="AB37" s="1184"/>
      <c r="AC37" s="1029">
        <f t="shared" si="15"/>
        <v>13.2</v>
      </c>
      <c r="AD37" s="1026"/>
      <c r="AE37" s="1180">
        <f t="shared" si="30"/>
        <v>1465.5553238882767</v>
      </c>
      <c r="AF37" s="1181"/>
      <c r="AG37" s="1177">
        <f t="shared" si="16"/>
        <v>14.144611801131182</v>
      </c>
      <c r="AH37" s="1171"/>
      <c r="AI37" s="420">
        <f t="shared" si="31"/>
        <v>13.491280000000003</v>
      </c>
      <c r="AJ37" s="418">
        <f t="shared" si="32"/>
        <v>18.4588</v>
      </c>
      <c r="AK37" s="92">
        <f t="shared" si="33"/>
        <v>1580.1049132721694</v>
      </c>
      <c r="AL37" s="630">
        <f t="shared" si="17"/>
        <v>7.8492027587777624</v>
      </c>
      <c r="AM37" s="655">
        <f t="shared" si="18"/>
        <v>13.114640000000001</v>
      </c>
      <c r="AN37" s="653">
        <f t="shared" si="34"/>
        <v>15.983738574426699</v>
      </c>
      <c r="AO37" s="92">
        <f t="shared" si="35"/>
        <v>1652.9006051390127</v>
      </c>
      <c r="AP37" s="654">
        <f t="shared" si="36"/>
        <v>4.7423347698733664</v>
      </c>
      <c r="AQ37" s="625">
        <v>0.5</v>
      </c>
      <c r="AR37" s="629">
        <f t="shared" si="37"/>
        <v>58.081687415680747</v>
      </c>
      <c r="AS37" s="629">
        <f t="shared" si="19"/>
        <v>80.980658259716236</v>
      </c>
      <c r="AT37" s="630">
        <f t="shared" si="19"/>
        <v>59.614634259153185</v>
      </c>
      <c r="AU37" s="111"/>
      <c r="AV37" s="338"/>
      <c r="AW37" s="91">
        <v>50</v>
      </c>
      <c r="AX37" s="91">
        <f t="shared" si="38"/>
        <v>90</v>
      </c>
      <c r="AY37" s="59" t="e">
        <f>VLOOKUP(AW37,BA$33:BB$44,2,FALSE)</f>
        <v>#N/A</v>
      </c>
      <c r="AZ37" s="160">
        <f t="shared" si="51"/>
        <v>30</v>
      </c>
      <c r="BA37" s="91">
        <f t="shared" si="39"/>
        <v>90</v>
      </c>
      <c r="BB37" s="85">
        <f t="shared" si="52"/>
        <v>1.4144611801131182</v>
      </c>
      <c r="BC37" s="59" t="str">
        <f t="shared" si="40"/>
        <v/>
      </c>
      <c r="BD37" s="678">
        <f>IF(AND(ISNUMBER(BD36),SUM(BC37:BC43)=0,$AW37=100),BD36-BD35+BD36,IF(ISNUMBER(BC37),BC37,IF(AND(ISTEXT(BC37),$AZ37&gt;=10,$AZ37&lt;30),AVERAGE(BC36,BC38),IF(AND($AZ37=30,ISTEXT(BC37),ISNUMBER(BC36),ISNUMBER(BC38)),AVERAGE(BC36,BC38),IF(AND($AZ37=30,ISTEXT(BC37),ISTEXT(BC38)),((BC39-BC36)/3)+BC36,IF(AND($AZ37=30,ISTEXT(BC37),ISTEXT(BC36)),((BC38-BC35)/3)*2+BC35,IF(AND(ISTEXT(BC37),$AZ37&gt;30,$AZ37&lt;40),((BC38-BD36)/2)+BD36,IF(AND(ISTEXT(BC37),ISTEXT(BC38),$AZ37&gt;30),(AVERAGE(BC39:BC43)-BD36)/2+BD36,IF(AND(ISTEXT(BC37),ISTEXT(BC36),$AZ37&gt;=40),ABS(BD36-BC38)/2+MIN(BD36,BC38),"")))))))))</f>
        <v>1.2696647249130479</v>
      </c>
      <c r="BE37" s="160" t="e">
        <f t="shared" si="41"/>
        <v>#N/A</v>
      </c>
      <c r="BF37" s="67">
        <f t="shared" si="20"/>
        <v>0.78492027587777624</v>
      </c>
      <c r="BG37" s="59" t="str">
        <f t="shared" si="42"/>
        <v/>
      </c>
      <c r="BH37" s="678">
        <f>IF(AND(ISNUMBER(BH36),SUM(BG37:BG43)=0,$AW37=100),BH36-BH35+BH36,IF(ISNUMBER(BG37),BG37,IF(AND(ISTEXT(BG37),$AZ37&gt;=10,$AZ37&lt;30),AVERAGE(BG36,BG38),IF(AND($AZ37=30,ISTEXT(BG37),ISNUMBER(BG36),ISNUMBER(BG38)),AVERAGE(BG36,BG38),IF(AND($AZ37=30,ISTEXT(BG37),ISTEXT(BG38)),((BG39-BG36)/3)+BG36,IF(AND($AZ37=30,ISTEXT(BG37),ISTEXT(BG36)),((BG38-BG35)/3)*2+BG35,IF(AND(ISTEXT(BG37),$AZ37&gt;30,$AZ37&lt;40),((BG38-BH36)/2)+BH36,IF(AND(ISTEXT(BG37),ISTEXT(BG38),$AZ37&gt;30),(AVERAGE(BG39:BG43)-BH36)/2+BH36,IF(AND(ISTEXT(BG37),ISTEXT(BG36),$AZ37&gt;=40),ABS(BH36-BG38)/2+MIN(BH36,BG38),"")))))))))</f>
        <v>1.1991267594701647</v>
      </c>
      <c r="BI37" s="160" t="e">
        <f t="shared" si="43"/>
        <v>#N/A</v>
      </c>
      <c r="BJ37" s="67">
        <f t="shared" si="21"/>
        <v>0.47423347698733664</v>
      </c>
      <c r="BK37" s="59" t="str">
        <f t="shared" si="44"/>
        <v/>
      </c>
      <c r="BL37" s="678">
        <f>IF(AND(ISNUMBER(BL36),SUM(BK37:BK43)=0,$AW37=100),BL36-BL35+BL36,IF(ISNUMBER(BK37),BK37,IF(AND(ISTEXT(BK37),$AZ37&gt;=10,$AZ37&lt;30),AVERAGE(BK36,BK38),IF(AND($AZ37=30,ISTEXT(BK37),ISNUMBER(BK36),ISNUMBER(BK38)),AVERAGE(BK36,BK38),IF(AND($AZ37=30,ISTEXT(BK37),ISTEXT(BK38)),((BK39-BK36)/3)+BK36,IF(AND($AZ37=30,ISTEXT(BK37),ISTEXT(BK36)),((BK38-BK35)/3)*2+BK35,IF(AND(ISTEXT(BK37),$AZ37&gt;30,$AZ37&lt;40),((BK38-BL36)/2)+BL36,IF(AND(ISTEXT(BK37),ISTEXT(BK38),$AZ37&gt;30),(AVERAGE(BK39:BK43)-BL36)/2+BL36,IF(AND(ISTEXT(BK37),ISTEXT(BK36),$AZ37&gt;=40),ABS(BL36-BK38)/2+MIN(BL36,BK38),"")))))))))</f>
        <v>0.8054409914789209</v>
      </c>
      <c r="BN37" s="85">
        <f t="shared" si="53"/>
        <v>5.8081687415680747</v>
      </c>
      <c r="BO37" s="59">
        <f t="shared" si="54"/>
        <v>8.0980658259716236</v>
      </c>
      <c r="BP37" s="59">
        <f t="shared" si="55"/>
        <v>5.9614634259153183</v>
      </c>
      <c r="BQ37" s="184">
        <f t="shared" si="45"/>
        <v>13.491280000000003</v>
      </c>
      <c r="BR37" s="184">
        <f t="shared" si="46"/>
        <v>18.4588</v>
      </c>
      <c r="BS37" s="114">
        <f t="shared" si="22"/>
        <v>1580.1049132721694</v>
      </c>
      <c r="BT37" s="184">
        <f t="shared" si="47"/>
        <v>0.78492027587777624</v>
      </c>
      <c r="BU37" s="184">
        <f t="shared" si="23"/>
        <v>13.114640000000001</v>
      </c>
      <c r="BV37" s="184">
        <f t="shared" si="24"/>
        <v>15.983738574426699</v>
      </c>
      <c r="BW37" s="114">
        <f t="shared" si="25"/>
        <v>1652.9006051390127</v>
      </c>
      <c r="BX37" s="336">
        <f t="shared" si="48"/>
        <v>0.47423347698733664</v>
      </c>
      <c r="BY37" s="161"/>
      <c r="BZ37" s="161"/>
      <c r="CA37" s="161"/>
      <c r="CB37" s="161"/>
      <c r="CC37" s="161"/>
      <c r="CD37" s="161">
        <f t="shared" si="49"/>
        <v>-30</v>
      </c>
      <c r="CE37" s="161">
        <f t="shared" si="50"/>
        <v>-10</v>
      </c>
      <c r="CF37" s="161"/>
      <c r="CG37" s="337">
        <f t="shared" si="26"/>
        <v>6.9499999999999993</v>
      </c>
      <c r="CH37" s="337">
        <f t="shared" si="27"/>
        <v>4.1739999999999995</v>
      </c>
      <c r="CI37" s="337">
        <f t="shared" si="28"/>
        <v>3.2190682760247968</v>
      </c>
      <c r="CJ37" s="337"/>
      <c r="CK37" s="161"/>
      <c r="CL37" s="337"/>
      <c r="CM37" s="161"/>
    </row>
    <row r="38" spans="1:91">
      <c r="B38" s="247">
        <v>6</v>
      </c>
      <c r="C38" s="1025">
        <f t="shared" si="3"/>
        <v>1.2</v>
      </c>
      <c r="D38" s="1178"/>
      <c r="E38" s="1029" t="str">
        <f t="shared" si="4"/>
        <v/>
      </c>
      <c r="F38" s="1025"/>
      <c r="G38" s="1170">
        <f t="shared" si="5"/>
        <v>6.0649999999999995</v>
      </c>
      <c r="H38" s="1170"/>
      <c r="I38" s="1170">
        <f t="shared" si="6"/>
        <v>4.258</v>
      </c>
      <c r="J38" s="1170"/>
      <c r="K38" s="1170">
        <f t="shared" si="7"/>
        <v>2.4712081224574813</v>
      </c>
      <c r="L38" s="1171"/>
      <c r="M38" s="1175">
        <f t="shared" si="8"/>
        <v>13.4</v>
      </c>
      <c r="N38" s="1026"/>
      <c r="O38" s="1176" t="str">
        <f t="shared" si="9"/>
        <v/>
      </c>
      <c r="P38" s="1170"/>
      <c r="Q38" s="1170">
        <f t="shared" si="10"/>
        <v>65.655000000000001</v>
      </c>
      <c r="R38" s="1171"/>
      <c r="S38" s="1176" t="str">
        <f t="shared" si="11"/>
        <v/>
      </c>
      <c r="T38" s="1170"/>
      <c r="U38" s="1170">
        <f t="shared" si="12"/>
        <v>25.725000000000001</v>
      </c>
      <c r="V38" s="1170"/>
      <c r="W38" s="1170">
        <f t="shared" si="13"/>
        <v>21.962</v>
      </c>
      <c r="X38" s="1170"/>
      <c r="Y38" s="1170">
        <f t="shared" si="14"/>
        <v>15.745023999999999</v>
      </c>
      <c r="Z38" s="1170"/>
      <c r="AA38" s="1170">
        <f t="shared" si="29"/>
        <v>21.144007999999999</v>
      </c>
      <c r="AB38" s="1184"/>
      <c r="AC38" s="1029">
        <f t="shared" si="15"/>
        <v>13.4</v>
      </c>
      <c r="AD38" s="1026"/>
      <c r="AE38" s="1180">
        <f t="shared" si="30"/>
        <v>1495.8220914581766</v>
      </c>
      <c r="AF38" s="1181"/>
      <c r="AG38" s="1177" t="str">
        <f t="shared" si="16"/>
        <v/>
      </c>
      <c r="AH38" s="1171"/>
      <c r="AI38" s="420" t="str">
        <f t="shared" si="31"/>
        <v/>
      </c>
      <c r="AJ38" s="418" t="str">
        <f t="shared" si="32"/>
        <v/>
      </c>
      <c r="AK38" s="92" t="str">
        <f t="shared" si="33"/>
        <v/>
      </c>
      <c r="AL38" s="630" t="str">
        <f t="shared" si="17"/>
        <v/>
      </c>
      <c r="AM38" s="655">
        <f t="shared" si="18"/>
        <v>12.546952000000003</v>
      </c>
      <c r="AN38" s="653">
        <f t="shared" si="34"/>
        <v>15.25468838026122</v>
      </c>
      <c r="AO38" s="92">
        <f t="shared" si="35"/>
        <v>1662.053362178216</v>
      </c>
      <c r="AP38" s="654">
        <f t="shared" si="36"/>
        <v>4.5004023547054288</v>
      </c>
      <c r="AQ38" s="625">
        <v>0.6</v>
      </c>
      <c r="AR38" s="629">
        <f t="shared" si="37"/>
        <v>71.550306996653504</v>
      </c>
      <c r="AS38" s="629">
        <f t="shared" si="19"/>
        <v>91.021977856530867</v>
      </c>
      <c r="AT38" s="630">
        <f t="shared" si="19"/>
        <v>65.983403103627239</v>
      </c>
      <c r="AU38" s="111"/>
      <c r="AV38" s="338"/>
      <c r="AW38" s="91">
        <v>60</v>
      </c>
      <c r="AX38" s="91">
        <f t="shared" si="38"/>
        <v>120</v>
      </c>
      <c r="AY38" s="59">
        <f>VLOOKUP(AW38,BA$33:BB$44,2,FALSE)</f>
        <v>1.3468619580972758</v>
      </c>
      <c r="AZ38" s="160">
        <f t="shared" si="51"/>
        <v>30</v>
      </c>
      <c r="BA38" s="91">
        <f t="shared" si="39"/>
        <v>120</v>
      </c>
      <c r="BB38" s="85">
        <f t="shared" si="52"/>
        <v>1.1583658242828849</v>
      </c>
      <c r="BC38" s="59">
        <f t="shared" si="40"/>
        <v>1.3468619580972758</v>
      </c>
      <c r="BD38" s="678">
        <f t="shared" ref="BD38:BD47" si="57">IF(AND(ISNUMBER(BD37),SUM(BC38:BC44)=0,$AW38=100),BD37-BD36+BD37,IF(ISNUMBER(BC38),BC38,IF(AND(ISTEXT(BC38),$AZ38&gt;=10,$AZ38&lt;30),AVERAGE(BC37,BC39),IF(AND($AZ38=30,ISTEXT(BC38),ISNUMBER(BC37),ISNUMBER(BC39)),AVERAGE(BC37,BC39),IF(AND($AZ38=30,ISTEXT(BC38),ISTEXT(BC39)),((BC40-BC37)/3)+BC37,IF(AND($AZ38=30,ISTEXT(BC38),ISTEXT(BC37)),((BC39-BC36)/3)*2+BC36,IF(AND(ISTEXT(BC38),$AZ38&gt;30,$AZ38&lt;40),((BC39-BD37)/2)+BD37,IF(AND(ISTEXT(BC38),ISTEXT(BC39),$AZ38&gt;30),(AVERAGE(BC40:BC44)-BD37)/2+BD37,IF(AND(ISTEXT(BC38),ISTEXT(BC37),$AZ38&gt;=40),ABS(BD37-BC39)/2+MIN(BD37,BC39),"")))))))))</f>
        <v>1.3468619580972758</v>
      </c>
      <c r="BE38" s="160">
        <f t="shared" si="41"/>
        <v>1.0041319596814617</v>
      </c>
      <c r="BF38" s="67">
        <f t="shared" si="20"/>
        <v>0.97622040091763118</v>
      </c>
      <c r="BG38" s="59">
        <f t="shared" si="42"/>
        <v>1.0041319596814617</v>
      </c>
      <c r="BH38" s="678">
        <f t="shared" ref="BH38:BH47" si="58">IF(AND(ISNUMBER(BH37),SUM(BG38:BG44)=0,$AW38=100),BH37-BH36+BH37,IF(ISNUMBER(BG38),BG38,IF(AND(ISTEXT(BG38),$AZ38&gt;=10,$AZ38&lt;30),AVERAGE(BG37,BG39),IF(AND($AZ38=30,ISTEXT(BG38),ISNUMBER(BG37),ISNUMBER(BG39)),AVERAGE(BG37,BG39),IF(AND($AZ38=30,ISTEXT(BG38),ISTEXT(BG39)),((BG40-BG37)/3)+BG37,IF(AND($AZ38=30,ISTEXT(BG38),ISTEXT(BG37)),((BG39-BG36)/3)*2+BG36,IF(AND(ISTEXT(BG38),$AZ38&gt;30,$AZ38&lt;40),((BG39-BH37)/2)+BH37,IF(AND(ISTEXT(BG38),ISTEXT(BG39),$AZ38&gt;30),(AVERAGE(BG40:BG44)-BH37)/2+BH37,IF(AND(ISTEXT(BG38),ISTEXT(BG37),$AZ38&gt;=40),ABS(BH37-BG39)/2+MIN(BH37,BG39),"")))))))))</f>
        <v>1.0041319596814617</v>
      </c>
      <c r="BI38" s="160">
        <f t="shared" si="43"/>
        <v>0.63687688444740576</v>
      </c>
      <c r="BJ38" s="67">
        <f t="shared" si="21"/>
        <v>0.45004023547054284</v>
      </c>
      <c r="BK38" s="59">
        <f t="shared" si="44"/>
        <v>0.63687688444740576</v>
      </c>
      <c r="BL38" s="678">
        <f t="shared" ref="BL38:BL47" si="59">IF(AND(ISNUMBER(BL37),SUM(BK38:BK44)=0,$AW38=100),BL37-BL36+BL37,IF(ISNUMBER(BK38),BK38,IF(AND(ISTEXT(BK38),$AZ38&gt;=10,$AZ38&lt;30),AVERAGE(BK37,BK39),IF(AND($AZ38=30,ISTEXT(BK38),ISNUMBER(BK37),ISNUMBER(BK39)),AVERAGE(BK37,BK39),IF(AND($AZ38=30,ISTEXT(BK38),ISTEXT(BK39)),((BK40-BK37)/3)+BK37,IF(AND($AZ38=30,ISTEXT(BK38),ISTEXT(BK37)),((BK39-BK36)/3)*2+BK36,IF(AND(ISTEXT(BK38),$AZ38&gt;30,$AZ38&lt;40),((BK39-BL37)/2)+BL37,IF(AND(ISTEXT(BK38),ISTEXT(BK39),$AZ38&gt;30),(AVERAGE(BK40:BK44)-BL37)/2+BL37,IF(AND(ISTEXT(BK38),ISTEXT(BK37),$AZ38&gt;=40),ABS(BL37-BK39)/2+MIN(BL37,BK39),"")))))))))</f>
        <v>0.63687688444740576</v>
      </c>
      <c r="BN38" s="85">
        <f t="shared" si="53"/>
        <v>7.1550306996653505</v>
      </c>
      <c r="BO38" s="59">
        <f t="shared" si="54"/>
        <v>9.102197785653086</v>
      </c>
      <c r="BP38" s="59">
        <f t="shared" si="55"/>
        <v>6.5983403103627243</v>
      </c>
      <c r="BQ38" s="184">
        <f t="shared" si="45"/>
        <v>14.352360000000003</v>
      </c>
      <c r="BR38" s="184">
        <f t="shared" si="46"/>
        <v>20.845600000000001</v>
      </c>
      <c r="BS38" s="114">
        <f t="shared" si="22"/>
        <v>1503.4411186366615</v>
      </c>
      <c r="BT38" s="184">
        <f t="shared" si="47"/>
        <v>0.97622040091763118</v>
      </c>
      <c r="BU38" s="184">
        <f t="shared" si="23"/>
        <v>12.546952000000003</v>
      </c>
      <c r="BV38" s="184">
        <f t="shared" si="24"/>
        <v>15.25468838026122</v>
      </c>
      <c r="BW38" s="114">
        <f t="shared" si="25"/>
        <v>1662.053362178216</v>
      </c>
      <c r="BX38" s="336">
        <f t="shared" si="48"/>
        <v>0.45004023547054284</v>
      </c>
      <c r="BY38" s="161"/>
      <c r="BZ38" s="161"/>
      <c r="CA38" s="161"/>
      <c r="CB38" s="161"/>
      <c r="CC38" s="161"/>
      <c r="CD38" s="161">
        <f t="shared" si="49"/>
        <v>0</v>
      </c>
      <c r="CE38" s="161">
        <f t="shared" si="50"/>
        <v>20</v>
      </c>
      <c r="CF38" s="161"/>
      <c r="CG38" s="337">
        <f t="shared" si="26"/>
        <v>6.0649999999999995</v>
      </c>
      <c r="CH38" s="337">
        <f t="shared" si="27"/>
        <v>4.258</v>
      </c>
      <c r="CI38" s="337">
        <f t="shared" si="28"/>
        <v>2.4712081224574813</v>
      </c>
      <c r="CJ38" s="337"/>
      <c r="CK38" s="161"/>
      <c r="CL38" s="337"/>
      <c r="CM38" s="161"/>
    </row>
    <row r="39" spans="1:91">
      <c r="B39" s="247">
        <v>7</v>
      </c>
      <c r="C39" s="1025" t="str">
        <f t="shared" si="3"/>
        <v/>
      </c>
      <c r="D39" s="1178"/>
      <c r="E39" s="1029" t="str">
        <f t="shared" si="4"/>
        <v/>
      </c>
      <c r="F39" s="1025"/>
      <c r="G39" s="1170" t="str">
        <f t="shared" si="5"/>
        <v/>
      </c>
      <c r="H39" s="1170"/>
      <c r="I39" s="1170" t="str">
        <f t="shared" si="6"/>
        <v/>
      </c>
      <c r="J39" s="1170"/>
      <c r="K39" s="1170" t="str">
        <f t="shared" si="7"/>
        <v/>
      </c>
      <c r="L39" s="1171"/>
      <c r="M39" s="1175" t="str">
        <f t="shared" si="8"/>
        <v/>
      </c>
      <c r="N39" s="1026"/>
      <c r="O39" s="1176" t="str">
        <f t="shared" si="9"/>
        <v/>
      </c>
      <c r="P39" s="1170"/>
      <c r="Q39" s="1170" t="str">
        <f t="shared" si="10"/>
        <v/>
      </c>
      <c r="R39" s="1171"/>
      <c r="S39" s="1176" t="str">
        <f t="shared" si="11"/>
        <v/>
      </c>
      <c r="T39" s="1170"/>
      <c r="U39" s="1170" t="str">
        <f t="shared" si="12"/>
        <v/>
      </c>
      <c r="V39" s="1170"/>
      <c r="W39" s="1170" t="str">
        <f t="shared" si="13"/>
        <v/>
      </c>
      <c r="X39" s="1170"/>
      <c r="Y39" s="1170" t="str">
        <f t="shared" si="14"/>
        <v/>
      </c>
      <c r="Z39" s="1170"/>
      <c r="AA39" s="1170" t="str">
        <f t="shared" si="29"/>
        <v/>
      </c>
      <c r="AB39" s="1184"/>
      <c r="AC39" s="1029" t="str">
        <f t="shared" si="15"/>
        <v/>
      </c>
      <c r="AD39" s="1026"/>
      <c r="AE39" s="1180" t="str">
        <f t="shared" si="30"/>
        <v/>
      </c>
      <c r="AF39" s="1181"/>
      <c r="AG39" s="1177" t="str">
        <f t="shared" si="16"/>
        <v/>
      </c>
      <c r="AH39" s="1171"/>
      <c r="AI39" s="420" t="str">
        <f>IF(ISNUMBER($C39),IF(AND(ISNUMBER(BQ39),$B39&lt;=$CE$45),BQ39,""),"")</f>
        <v/>
      </c>
      <c r="AJ39" s="418" t="str">
        <f t="shared" si="32"/>
        <v/>
      </c>
      <c r="AK39" s="92" t="str">
        <f t="shared" si="33"/>
        <v/>
      </c>
      <c r="AL39" s="630" t="str">
        <f t="shared" si="17"/>
        <v/>
      </c>
      <c r="AM39" s="655" t="str">
        <f t="shared" si="18"/>
        <v/>
      </c>
      <c r="AN39" s="653" t="str">
        <f t="shared" si="34"/>
        <v/>
      </c>
      <c r="AO39" s="92" t="str">
        <f t="shared" si="35"/>
        <v/>
      </c>
      <c r="AP39" s="654" t="str">
        <f t="shared" si="36"/>
        <v/>
      </c>
      <c r="AQ39" s="625">
        <v>0.7</v>
      </c>
      <c r="AR39" s="629">
        <f t="shared" si="37"/>
        <v>85.244257317679072</v>
      </c>
      <c r="AS39" s="629">
        <f t="shared" si="19"/>
        <v>100.33259184066652</v>
      </c>
      <c r="AT39" s="630">
        <f t="shared" si="19"/>
        <v>71.810027256567736</v>
      </c>
      <c r="AU39" s="111"/>
      <c r="AV39" s="338"/>
      <c r="AW39" s="91">
        <v>70</v>
      </c>
      <c r="AX39" s="91" t="e">
        <f t="shared" si="38"/>
        <v>#VALUE!</v>
      </c>
      <c r="AY39" s="59" t="e">
        <f t="shared" si="56"/>
        <v>#N/A</v>
      </c>
      <c r="AZ39" s="160">
        <f t="shared" si="51"/>
        <v>30</v>
      </c>
      <c r="BA39" s="91" t="e">
        <f t="shared" si="39"/>
        <v>#VALUE!</v>
      </c>
      <c r="BB39" s="85" t="str">
        <f>IF(AND(ISNUMBER(C39),ISNUMBER(M39)),(((AA39/100)-(AC39/100))*(AE39/1000*10)),"")</f>
        <v/>
      </c>
      <c r="BC39" s="59" t="str">
        <f t="shared" si="40"/>
        <v/>
      </c>
      <c r="BD39" s="678">
        <f t="shared" si="57"/>
        <v>1.3693950321025565</v>
      </c>
      <c r="BE39" s="160" t="e">
        <f t="shared" si="41"/>
        <v>#N/A</v>
      </c>
      <c r="BF39" s="67" t="str">
        <f t="shared" si="20"/>
        <v/>
      </c>
      <c r="BG39" s="59" t="str">
        <f t="shared" si="42"/>
        <v/>
      </c>
      <c r="BH39" s="678">
        <f t="shared" si="58"/>
        <v>0.93106139841356661</v>
      </c>
      <c r="BI39" s="160" t="e">
        <f t="shared" si="43"/>
        <v>#N/A</v>
      </c>
      <c r="BJ39" s="67" t="str">
        <f t="shared" si="21"/>
        <v/>
      </c>
      <c r="BK39" s="59" t="str">
        <f t="shared" si="44"/>
        <v/>
      </c>
      <c r="BL39" s="678">
        <f t="shared" si="59"/>
        <v>0.58266241529404939</v>
      </c>
      <c r="BN39" s="85">
        <f t="shared" si="53"/>
        <v>8.5244257317679075</v>
      </c>
      <c r="BO39" s="59">
        <f t="shared" si="54"/>
        <v>10.033259184066653</v>
      </c>
      <c r="BP39" s="59">
        <f t="shared" si="55"/>
        <v>7.1810027256567732</v>
      </c>
      <c r="BQ39" s="184" t="str">
        <f t="shared" si="45"/>
        <v/>
      </c>
      <c r="BR39" s="184" t="str">
        <f t="shared" si="46"/>
        <v/>
      </c>
      <c r="BS39" s="114" t="str">
        <f t="shared" si="22"/>
        <v/>
      </c>
      <c r="BT39" s="184" t="str">
        <f t="shared" si="47"/>
        <v/>
      </c>
      <c r="BU39" s="184" t="str">
        <f t="shared" si="23"/>
        <v/>
      </c>
      <c r="BV39" s="184" t="str">
        <f t="shared" si="24"/>
        <v/>
      </c>
      <c r="BW39" s="114" t="str">
        <f t="shared" si="25"/>
        <v/>
      </c>
      <c r="BX39" s="336" t="str">
        <f t="shared" si="48"/>
        <v/>
      </c>
      <c r="BY39" s="161"/>
      <c r="BZ39" s="161"/>
      <c r="CA39" s="161"/>
      <c r="CB39" s="161"/>
      <c r="CC39" s="161"/>
      <c r="CD39" s="161" t="str">
        <f t="shared" si="49"/>
        <v/>
      </c>
      <c r="CE39" s="161" t="str">
        <f t="shared" si="50"/>
        <v/>
      </c>
      <c r="CF39" s="161"/>
      <c r="CG39" s="337" t="str">
        <f t="shared" si="26"/>
        <v/>
      </c>
      <c r="CH39" s="337" t="str">
        <f t="shared" si="27"/>
        <v/>
      </c>
      <c r="CI39" s="337" t="str">
        <f t="shared" si="28"/>
        <v/>
      </c>
      <c r="CJ39" s="337"/>
      <c r="CK39" s="161"/>
      <c r="CL39" s="337"/>
      <c r="CM39" s="161"/>
    </row>
    <row r="40" spans="1:91">
      <c r="B40" s="247">
        <v>8</v>
      </c>
      <c r="C40" s="1025" t="str">
        <f t="shared" si="3"/>
        <v/>
      </c>
      <c r="D40" s="1178"/>
      <c r="E40" s="1029" t="str">
        <f t="shared" si="4"/>
        <v/>
      </c>
      <c r="F40" s="1025"/>
      <c r="G40" s="1170" t="str">
        <f t="shared" si="5"/>
        <v/>
      </c>
      <c r="H40" s="1170"/>
      <c r="I40" s="1170" t="str">
        <f t="shared" si="6"/>
        <v/>
      </c>
      <c r="J40" s="1170"/>
      <c r="K40" s="1170" t="str">
        <f t="shared" si="7"/>
        <v/>
      </c>
      <c r="L40" s="1171"/>
      <c r="M40" s="1175" t="str">
        <f t="shared" si="8"/>
        <v/>
      </c>
      <c r="N40" s="1026"/>
      <c r="O40" s="1176" t="str">
        <f t="shared" si="9"/>
        <v/>
      </c>
      <c r="P40" s="1170"/>
      <c r="Q40" s="1170" t="str">
        <f t="shared" si="10"/>
        <v/>
      </c>
      <c r="R40" s="1171"/>
      <c r="S40" s="1176" t="str">
        <f t="shared" si="11"/>
        <v/>
      </c>
      <c r="T40" s="1170"/>
      <c r="U40" s="1170" t="str">
        <f t="shared" si="12"/>
        <v/>
      </c>
      <c r="V40" s="1170"/>
      <c r="W40" s="1170" t="str">
        <f t="shared" si="13"/>
        <v/>
      </c>
      <c r="X40" s="1170"/>
      <c r="Y40" s="1170" t="str">
        <f t="shared" si="14"/>
        <v/>
      </c>
      <c r="Z40" s="1170"/>
      <c r="AA40" s="1170" t="str">
        <f t="shared" si="29"/>
        <v/>
      </c>
      <c r="AB40" s="1184"/>
      <c r="AC40" s="1029" t="str">
        <f t="shared" si="15"/>
        <v/>
      </c>
      <c r="AD40" s="1026"/>
      <c r="AE40" s="1180" t="str">
        <f t="shared" si="30"/>
        <v/>
      </c>
      <c r="AF40" s="1181"/>
      <c r="AG40" s="1177" t="str">
        <f t="shared" si="16"/>
        <v/>
      </c>
      <c r="AH40" s="1171"/>
      <c r="AI40" s="420" t="str">
        <f t="shared" si="31"/>
        <v/>
      </c>
      <c r="AJ40" s="418" t="str">
        <f t="shared" si="32"/>
        <v/>
      </c>
      <c r="AK40" s="92" t="str">
        <f t="shared" si="33"/>
        <v/>
      </c>
      <c r="AL40" s="630" t="str">
        <f t="shared" si="17"/>
        <v/>
      </c>
      <c r="AM40" s="420" t="str">
        <f>IF(ISNUMBER($C40),IF(AND(ISNUMBER(BU40),$B40&lt;=$CD$45),BU40,""),"")</f>
        <v/>
      </c>
      <c r="AN40" s="653" t="str">
        <f t="shared" si="34"/>
        <v/>
      </c>
      <c r="AO40" s="92" t="str">
        <f t="shared" si="35"/>
        <v/>
      </c>
      <c r="AP40" s="654" t="str">
        <f t="shared" si="36"/>
        <v/>
      </c>
      <c r="AQ40" s="625">
        <v>0.8</v>
      </c>
      <c r="AR40" s="629">
        <f t="shared" si="37"/>
        <v>99.163538378757451</v>
      </c>
      <c r="AS40" s="629">
        <f t="shared" si="19"/>
        <v>108.91250021212323</v>
      </c>
      <c r="AT40" s="630">
        <f t="shared" si="19"/>
        <v>77.094506717974667</v>
      </c>
      <c r="AU40" s="111"/>
      <c r="AV40" s="338"/>
      <c r="AW40" s="91">
        <v>80</v>
      </c>
      <c r="AX40" s="91" t="e">
        <f t="shared" si="38"/>
        <v>#VALUE!</v>
      </c>
      <c r="AY40" s="59" t="e">
        <f t="shared" si="56"/>
        <v>#N/A</v>
      </c>
      <c r="AZ40" s="160">
        <f t="shared" si="51"/>
        <v>30</v>
      </c>
      <c r="BA40" s="91" t="e">
        <f t="shared" si="39"/>
        <v>#VALUE!</v>
      </c>
      <c r="BB40" s="85" t="str">
        <f t="shared" si="52"/>
        <v/>
      </c>
      <c r="BC40" s="59" t="str">
        <f t="shared" si="40"/>
        <v/>
      </c>
      <c r="BD40" s="678">
        <f t="shared" si="57"/>
        <v>1.3919281061078375</v>
      </c>
      <c r="BE40" s="160" t="e">
        <f t="shared" si="41"/>
        <v>#N/A</v>
      </c>
      <c r="BF40" s="67" t="str">
        <f t="shared" si="20"/>
        <v/>
      </c>
      <c r="BG40" s="59" t="str">
        <f t="shared" si="42"/>
        <v/>
      </c>
      <c r="BH40" s="678">
        <f t="shared" si="58"/>
        <v>0.85799083714567137</v>
      </c>
      <c r="BI40" s="160" t="e">
        <f t="shared" si="43"/>
        <v>#N/A</v>
      </c>
      <c r="BJ40" s="67" t="str">
        <f t="shared" si="21"/>
        <v/>
      </c>
      <c r="BK40" s="59" t="str">
        <f t="shared" si="44"/>
        <v/>
      </c>
      <c r="BL40" s="678">
        <f t="shared" si="59"/>
        <v>0.52844794614069301</v>
      </c>
      <c r="BN40" s="85">
        <f t="shared" si="53"/>
        <v>9.9163538378757448</v>
      </c>
      <c r="BO40" s="59">
        <f t="shared" si="54"/>
        <v>10.891250021212324</v>
      </c>
      <c r="BP40" s="59">
        <f t="shared" si="55"/>
        <v>7.709450671797466</v>
      </c>
      <c r="BQ40" s="184" t="str">
        <f>IF(AND(ISNUMBER(C40),ISNUMBER(M40)),(-0.0176+0.022*(C40)+1.0054*(M40/100))*100,"")</f>
        <v/>
      </c>
      <c r="BR40" s="184" t="str">
        <f t="shared" si="46"/>
        <v/>
      </c>
      <c r="BS40" s="114" t="str">
        <f t="shared" si="22"/>
        <v/>
      </c>
      <c r="BT40" s="184" t="str">
        <f t="shared" si="47"/>
        <v/>
      </c>
      <c r="BU40" s="184" t="str">
        <f t="shared" si="23"/>
        <v/>
      </c>
      <c r="BV40" s="184" t="str">
        <f t="shared" si="24"/>
        <v/>
      </c>
      <c r="BW40" s="114" t="str">
        <f t="shared" si="25"/>
        <v/>
      </c>
      <c r="BX40" s="336" t="str">
        <f t="shared" si="48"/>
        <v/>
      </c>
      <c r="BY40" s="161"/>
      <c r="BZ40" s="161"/>
      <c r="CA40" s="161"/>
      <c r="CB40" s="161"/>
      <c r="CC40" s="161"/>
      <c r="CD40" s="161" t="str">
        <f t="shared" si="49"/>
        <v/>
      </c>
      <c r="CE40" s="161" t="str">
        <f t="shared" si="50"/>
        <v/>
      </c>
      <c r="CF40" s="161"/>
      <c r="CG40" s="337" t="str">
        <f t="shared" si="26"/>
        <v/>
      </c>
      <c r="CH40" s="337" t="str">
        <f t="shared" si="27"/>
        <v/>
      </c>
      <c r="CI40" s="337" t="str">
        <f t="shared" si="28"/>
        <v/>
      </c>
      <c r="CJ40" s="337"/>
      <c r="CK40" s="161"/>
      <c r="CL40" s="337"/>
      <c r="CM40" s="161"/>
    </row>
    <row r="41" spans="1:91">
      <c r="B41" s="247">
        <v>9</v>
      </c>
      <c r="C41" s="1025" t="str">
        <f t="shared" si="3"/>
        <v/>
      </c>
      <c r="D41" s="1178"/>
      <c r="E41" s="1029" t="str">
        <f t="shared" si="4"/>
        <v/>
      </c>
      <c r="F41" s="1025"/>
      <c r="G41" s="1170" t="str">
        <f t="shared" si="5"/>
        <v/>
      </c>
      <c r="H41" s="1170"/>
      <c r="I41" s="1170" t="str">
        <f t="shared" si="6"/>
        <v/>
      </c>
      <c r="J41" s="1170"/>
      <c r="K41" s="1170" t="str">
        <f t="shared" si="7"/>
        <v/>
      </c>
      <c r="L41" s="1171"/>
      <c r="M41" s="1175" t="str">
        <f t="shared" si="8"/>
        <v/>
      </c>
      <c r="N41" s="1026"/>
      <c r="O41" s="1176" t="str">
        <f t="shared" si="9"/>
        <v/>
      </c>
      <c r="P41" s="1170"/>
      <c r="Q41" s="1170" t="str">
        <f t="shared" si="10"/>
        <v/>
      </c>
      <c r="R41" s="1171"/>
      <c r="S41" s="1176" t="str">
        <f t="shared" si="11"/>
        <v/>
      </c>
      <c r="T41" s="1170"/>
      <c r="U41" s="1170" t="str">
        <f t="shared" si="12"/>
        <v/>
      </c>
      <c r="V41" s="1170"/>
      <c r="W41" s="1170" t="str">
        <f t="shared" si="13"/>
        <v/>
      </c>
      <c r="X41" s="1170"/>
      <c r="Y41" s="1170" t="str">
        <f t="shared" si="14"/>
        <v/>
      </c>
      <c r="Z41" s="1170"/>
      <c r="AA41" s="1170" t="str">
        <f t="shared" si="29"/>
        <v/>
      </c>
      <c r="AB41" s="1184"/>
      <c r="AC41" s="1029" t="str">
        <f t="shared" si="15"/>
        <v/>
      </c>
      <c r="AD41" s="1026"/>
      <c r="AE41" s="1180" t="str">
        <f t="shared" si="30"/>
        <v/>
      </c>
      <c r="AF41" s="1181"/>
      <c r="AG41" s="1177" t="str">
        <f t="shared" si="16"/>
        <v/>
      </c>
      <c r="AH41" s="1171"/>
      <c r="AI41" s="420" t="str">
        <f t="shared" si="31"/>
        <v/>
      </c>
      <c r="AJ41" s="418" t="str">
        <f t="shared" si="32"/>
        <v/>
      </c>
      <c r="AK41" s="92" t="str">
        <f t="shared" si="33"/>
        <v/>
      </c>
      <c r="AL41" s="630" t="str">
        <f t="shared" si="17"/>
        <v/>
      </c>
      <c r="AM41" s="655" t="str">
        <f>IF(ISNUMBER($C41),IF(AND(ISNUMBER(BU41),$B41&lt;=$CD$45),BU41,""),"")</f>
        <v/>
      </c>
      <c r="AN41" s="653" t="str">
        <f t="shared" ref="AN41:AO44" si="60">IF(ISNUMBER($C41),IF(AND(ISNUMBER(BV41),$B41&lt;=$CD$45),BV41,""),"")</f>
        <v/>
      </c>
      <c r="AO41" s="92" t="str">
        <f t="shared" si="60"/>
        <v/>
      </c>
      <c r="AP41" s="654" t="str">
        <f>IF(ISNUMBER($C41),IF(AND(ISNUMBER(BX41),$B41&lt;=$CD$45),IF($X$7="cm",BX41,IF($X$7="mm",BX41*10,"")),""),"")</f>
        <v/>
      </c>
      <c r="AQ41" s="652">
        <v>0.9</v>
      </c>
      <c r="AR41" s="629">
        <f t="shared" si="37"/>
        <v>113.30815017988863</v>
      </c>
      <c r="AS41" s="629">
        <f t="shared" si="19"/>
        <v>116.76170297090098</v>
      </c>
      <c r="AT41" s="654">
        <f t="shared" si="19"/>
        <v>81.836841487848034</v>
      </c>
      <c r="AU41" s="111"/>
      <c r="AV41" s="338"/>
      <c r="AW41" s="91">
        <v>90</v>
      </c>
      <c r="AX41" s="91" t="e">
        <f t="shared" si="38"/>
        <v>#VALUE!</v>
      </c>
      <c r="AY41" s="59">
        <f>VLOOKUP(AW41,BA$33:BB$44,2,FALSE)</f>
        <v>1.4144611801131182</v>
      </c>
      <c r="AZ41" s="160">
        <f t="shared" si="51"/>
        <v>30</v>
      </c>
      <c r="BA41" s="91" t="e">
        <f t="shared" si="39"/>
        <v>#VALUE!</v>
      </c>
      <c r="BB41" s="85" t="str">
        <f>IF(AND(ISNUMBER(C41),ISNUMBER(M41)),(((AA41/100)-(AC41/100))*(AE41/1000*10)),"")</f>
        <v/>
      </c>
      <c r="BC41" s="59">
        <f>IF(ISNUMBER(AY41),AY41,"")</f>
        <v>1.4144611801131182</v>
      </c>
      <c r="BD41" s="678">
        <f t="shared" si="57"/>
        <v>1.4144611801131182</v>
      </c>
      <c r="BE41" s="160">
        <f t="shared" si="41"/>
        <v>0.78492027587777624</v>
      </c>
      <c r="BF41" s="67" t="str">
        <f t="shared" si="20"/>
        <v/>
      </c>
      <c r="BG41" s="59">
        <f t="shared" si="42"/>
        <v>0.78492027587777624</v>
      </c>
      <c r="BH41" s="678">
        <f t="shared" si="58"/>
        <v>0.78492027587777624</v>
      </c>
      <c r="BI41" s="160">
        <f t="shared" si="43"/>
        <v>0.47423347698733664</v>
      </c>
      <c r="BJ41" s="67" t="str">
        <f t="shared" si="21"/>
        <v/>
      </c>
      <c r="BK41" s="59">
        <f t="shared" si="44"/>
        <v>0.47423347698733664</v>
      </c>
      <c r="BL41" s="678">
        <f t="shared" si="59"/>
        <v>0.47423347698733664</v>
      </c>
      <c r="BN41" s="85">
        <f t="shared" si="53"/>
        <v>11.330815017988863</v>
      </c>
      <c r="BO41" s="59">
        <f t="shared" si="54"/>
        <v>11.676170297090099</v>
      </c>
      <c r="BP41" s="59">
        <f t="shared" si="55"/>
        <v>8.1836841487848027</v>
      </c>
      <c r="BQ41" s="184" t="str">
        <f t="shared" si="45"/>
        <v/>
      </c>
      <c r="BR41" s="184" t="str">
        <f t="shared" si="46"/>
        <v/>
      </c>
      <c r="BS41" s="114" t="str">
        <f t="shared" si="22"/>
        <v/>
      </c>
      <c r="BT41" s="184" t="str">
        <f t="shared" si="47"/>
        <v/>
      </c>
      <c r="BU41" s="184" t="str">
        <f>IF(AND(ISNUMBER(C41),ISNUMBER(M41)),(100*(-2.41+0.0566*D20)*(-0.0176+0.022*(C41))+1.0054*(M41)),"")</f>
        <v/>
      </c>
      <c r="BV41" s="184" t="str">
        <f>IF(AND(ISNUMBER(C41),ISNUMBER(M41)),((0.995+0.0011*BG20)*13.2*EXP(-2.845*(C41))+(1.0054+0.0041*D20)*M41),"")</f>
        <v/>
      </c>
      <c r="BW41" s="114" t="str">
        <f>IF(AND(ISNUMBER(C41),ISNUMBER(BV41)),((0.852+0.0012*D20)*1000)/(0.3774+BV41/100),"")</f>
        <v/>
      </c>
      <c r="BX41" s="336" t="str">
        <f>IF(ISNUMBER(BW41),((BV41-BU41)/100*BW41)/1000*10,"")</f>
        <v/>
      </c>
      <c r="BY41" s="161"/>
      <c r="BZ41" s="161"/>
      <c r="CA41" s="161"/>
      <c r="CB41" s="161"/>
      <c r="CC41" s="161"/>
      <c r="CD41" s="161" t="str">
        <f t="shared" si="49"/>
        <v/>
      </c>
      <c r="CE41" s="161" t="str">
        <f t="shared" si="50"/>
        <v/>
      </c>
      <c r="CF41" s="161"/>
      <c r="CG41" s="337" t="str">
        <f t="shared" si="26"/>
        <v/>
      </c>
      <c r="CH41" s="337" t="str">
        <f t="shared" si="27"/>
        <v/>
      </c>
      <c r="CI41" s="337" t="str">
        <f t="shared" si="28"/>
        <v/>
      </c>
      <c r="CJ41" s="337"/>
      <c r="CK41" s="161"/>
      <c r="CL41" s="337"/>
      <c r="CM41" s="161"/>
    </row>
    <row r="42" spans="1:91" ht="15" thickBot="1">
      <c r="B42" s="247">
        <v>10</v>
      </c>
      <c r="C42" s="1025" t="str">
        <f t="shared" si="3"/>
        <v/>
      </c>
      <c r="D42" s="1178"/>
      <c r="E42" s="1029" t="str">
        <f t="shared" si="4"/>
        <v/>
      </c>
      <c r="F42" s="1025"/>
      <c r="G42" s="1170" t="str">
        <f t="shared" si="5"/>
        <v/>
      </c>
      <c r="H42" s="1170"/>
      <c r="I42" s="1170" t="str">
        <f t="shared" si="6"/>
        <v/>
      </c>
      <c r="J42" s="1170"/>
      <c r="K42" s="1170" t="str">
        <f t="shared" si="7"/>
        <v/>
      </c>
      <c r="L42" s="1171"/>
      <c r="M42" s="1175" t="str">
        <f t="shared" si="8"/>
        <v/>
      </c>
      <c r="N42" s="1026"/>
      <c r="O42" s="1176" t="str">
        <f t="shared" si="9"/>
        <v/>
      </c>
      <c r="P42" s="1170"/>
      <c r="Q42" s="1170" t="str">
        <f t="shared" si="10"/>
        <v/>
      </c>
      <c r="R42" s="1171"/>
      <c r="S42" s="1176" t="str">
        <f t="shared" si="11"/>
        <v/>
      </c>
      <c r="T42" s="1170"/>
      <c r="U42" s="1170" t="str">
        <f t="shared" si="12"/>
        <v/>
      </c>
      <c r="V42" s="1170"/>
      <c r="W42" s="1170" t="str">
        <f t="shared" si="13"/>
        <v/>
      </c>
      <c r="X42" s="1170"/>
      <c r="Y42" s="1170" t="str">
        <f t="shared" si="14"/>
        <v/>
      </c>
      <c r="Z42" s="1170"/>
      <c r="AA42" s="1170" t="str">
        <f t="shared" si="29"/>
        <v/>
      </c>
      <c r="AB42" s="1184"/>
      <c r="AC42" s="1029" t="str">
        <f t="shared" si="15"/>
        <v/>
      </c>
      <c r="AD42" s="1026"/>
      <c r="AE42" s="1180" t="str">
        <f t="shared" si="30"/>
        <v/>
      </c>
      <c r="AF42" s="1181"/>
      <c r="AG42" s="1177" t="str">
        <f t="shared" si="16"/>
        <v/>
      </c>
      <c r="AH42" s="1171"/>
      <c r="AI42" s="420" t="str">
        <f t="shared" si="31"/>
        <v/>
      </c>
      <c r="AJ42" s="418" t="str">
        <f t="shared" si="32"/>
        <v/>
      </c>
      <c r="AK42" s="92" t="str">
        <f t="shared" si="33"/>
        <v/>
      </c>
      <c r="AL42" s="630" t="str">
        <f t="shared" si="17"/>
        <v/>
      </c>
      <c r="AM42" s="655" t="str">
        <f>IF(ISNUMBER($C42),IF(AND(ISNUMBER(BU42),$B42&lt;=$CD$45),BU42,""),"")</f>
        <v/>
      </c>
      <c r="AN42" s="653" t="str">
        <f t="shared" si="60"/>
        <v/>
      </c>
      <c r="AO42" s="92" t="str">
        <f t="shared" si="60"/>
        <v/>
      </c>
      <c r="AP42" s="654" t="str">
        <f>IF(ISNUMBER($C42),IF(AND(ISNUMBER(BX42),$B42&lt;=$CD$45),IF($X$7="cm",BX42,IF($X$7="mm",BX42*10,"")),""),"")</f>
        <v/>
      </c>
      <c r="AQ42" s="655">
        <v>1</v>
      </c>
      <c r="AR42" s="632">
        <f t="shared" si="37"/>
        <v>126.59911079491904</v>
      </c>
      <c r="AS42" s="632">
        <f t="shared" si="19"/>
        <v>125.24857281314495</v>
      </c>
      <c r="AT42" s="654">
        <f t="shared" si="19"/>
        <v>86.498532119332069</v>
      </c>
      <c r="AU42" s="111"/>
      <c r="AV42" s="338"/>
      <c r="AW42" s="91">
        <v>100</v>
      </c>
      <c r="AX42" s="91" t="e">
        <f t="shared" si="38"/>
        <v>#VALUE!</v>
      </c>
      <c r="AY42" s="59" t="e">
        <f t="shared" si="56"/>
        <v>#N/A</v>
      </c>
      <c r="AZ42" s="160">
        <f t="shared" si="51"/>
        <v>30</v>
      </c>
      <c r="BA42" s="91" t="e">
        <f t="shared" si="39"/>
        <v>#VALUE!</v>
      </c>
      <c r="BB42" s="85" t="str">
        <f t="shared" si="52"/>
        <v/>
      </c>
      <c r="BC42" s="59" t="str">
        <f t="shared" si="40"/>
        <v/>
      </c>
      <c r="BD42" s="678">
        <f t="shared" si="57"/>
        <v>1.3290960615030405</v>
      </c>
      <c r="BE42" s="160" t="e">
        <f t="shared" si="41"/>
        <v>#N/A</v>
      </c>
      <c r="BF42" s="67" t="str">
        <f t="shared" si="20"/>
        <v/>
      </c>
      <c r="BG42" s="59" t="str">
        <f t="shared" si="42"/>
        <v/>
      </c>
      <c r="BH42" s="678">
        <f t="shared" si="58"/>
        <v>0.84868698422439459</v>
      </c>
      <c r="BI42" s="160" t="e">
        <f t="shared" si="43"/>
        <v>#N/A</v>
      </c>
      <c r="BJ42" s="67" t="str">
        <f t="shared" si="21"/>
        <v/>
      </c>
      <c r="BK42" s="59" t="str">
        <f t="shared" si="44"/>
        <v/>
      </c>
      <c r="BL42" s="678">
        <f t="shared" si="59"/>
        <v>0.46616906314840539</v>
      </c>
      <c r="BN42" s="85">
        <f>BN41+BD42</f>
        <v>12.659911079491904</v>
      </c>
      <c r="BO42" s="59">
        <f t="shared" si="54"/>
        <v>12.524857281314494</v>
      </c>
      <c r="BP42" s="59">
        <f t="shared" si="55"/>
        <v>8.6498532119332072</v>
      </c>
      <c r="BQ42" s="184" t="str">
        <f t="shared" si="45"/>
        <v/>
      </c>
      <c r="BR42" s="184" t="str">
        <f t="shared" si="46"/>
        <v/>
      </c>
      <c r="BS42" s="114" t="str">
        <f t="shared" si="22"/>
        <v/>
      </c>
      <c r="BT42" s="184" t="str">
        <f t="shared" si="47"/>
        <v/>
      </c>
      <c r="BU42" s="184" t="str">
        <f>IF(AND(ISNUMBER(C42),ISNUMBER(M42)),(100*(-2.41+0.0566*D21)*(-0.0176+0.022*(C42))+1.0054*(M42)),"")</f>
        <v/>
      </c>
      <c r="BV42" s="184" t="str">
        <f>IF(AND(ISNUMBER(C42),ISNUMBER(M42)),((0.995+0.0011*BG21)*13.2*EXP(-2.845*(C42))+(1.0054+0.0041*D21)*M42),"")</f>
        <v/>
      </c>
      <c r="BW42" s="114" t="str">
        <f>IF(AND(ISNUMBER(C42),ISNUMBER(BV42)),((0.852+0.0012*D21)*1000)/(0.3774+BV42/100),"")</f>
        <v/>
      </c>
      <c r="BX42" s="336" t="str">
        <f>IF(ISNUMBER(BW42),((BV42-BU42)/100*BW42)/1000*10,"")</f>
        <v/>
      </c>
      <c r="BY42" s="161"/>
      <c r="BZ42" s="161"/>
      <c r="CA42" s="161"/>
      <c r="CB42" s="161"/>
      <c r="CC42" s="161"/>
      <c r="CD42" s="161" t="str">
        <f t="shared" si="49"/>
        <v/>
      </c>
      <c r="CE42" s="161" t="str">
        <f t="shared" si="50"/>
        <v/>
      </c>
      <c r="CF42" s="161"/>
      <c r="CG42" s="337" t="str">
        <f t="shared" si="26"/>
        <v/>
      </c>
      <c r="CH42" s="337" t="str">
        <f t="shared" si="27"/>
        <v/>
      </c>
      <c r="CI42" s="337" t="str">
        <f t="shared" si="28"/>
        <v/>
      </c>
      <c r="CJ42" s="337"/>
      <c r="CK42" s="161"/>
      <c r="CL42" s="337"/>
      <c r="CM42" s="161"/>
    </row>
    <row r="43" spans="1:91">
      <c r="B43" s="247">
        <v>11</v>
      </c>
      <c r="C43" s="1025" t="str">
        <f t="shared" si="3"/>
        <v/>
      </c>
      <c r="D43" s="1178"/>
      <c r="E43" s="1029" t="str">
        <f t="shared" si="4"/>
        <v/>
      </c>
      <c r="F43" s="1025"/>
      <c r="G43" s="1170" t="str">
        <f t="shared" si="5"/>
        <v/>
      </c>
      <c r="H43" s="1170"/>
      <c r="I43" s="1170" t="str">
        <f t="shared" si="6"/>
        <v/>
      </c>
      <c r="J43" s="1170"/>
      <c r="K43" s="1170" t="str">
        <f t="shared" si="7"/>
        <v/>
      </c>
      <c r="L43" s="1171"/>
      <c r="M43" s="1175" t="str">
        <f t="shared" si="8"/>
        <v/>
      </c>
      <c r="N43" s="1026"/>
      <c r="O43" s="1176" t="str">
        <f t="shared" si="9"/>
        <v/>
      </c>
      <c r="P43" s="1170"/>
      <c r="Q43" s="1170" t="str">
        <f t="shared" si="10"/>
        <v/>
      </c>
      <c r="R43" s="1171"/>
      <c r="S43" s="1176" t="str">
        <f t="shared" si="11"/>
        <v/>
      </c>
      <c r="T43" s="1170"/>
      <c r="U43" s="1170" t="str">
        <f t="shared" si="12"/>
        <v/>
      </c>
      <c r="V43" s="1170"/>
      <c r="W43" s="1170" t="str">
        <f t="shared" si="13"/>
        <v/>
      </c>
      <c r="X43" s="1170"/>
      <c r="Y43" s="1170" t="str">
        <f t="shared" si="14"/>
        <v/>
      </c>
      <c r="Z43" s="1170"/>
      <c r="AA43" s="1170" t="str">
        <f t="shared" si="29"/>
        <v/>
      </c>
      <c r="AB43" s="1184"/>
      <c r="AC43" s="1029" t="str">
        <f t="shared" si="15"/>
        <v/>
      </c>
      <c r="AD43" s="1026"/>
      <c r="AE43" s="1180" t="str">
        <f t="shared" si="30"/>
        <v/>
      </c>
      <c r="AF43" s="1181"/>
      <c r="AG43" s="1177" t="str">
        <f t="shared" si="16"/>
        <v/>
      </c>
      <c r="AH43" s="1171"/>
      <c r="AI43" s="420" t="str">
        <f t="shared" si="31"/>
        <v/>
      </c>
      <c r="AJ43" s="418" t="str">
        <f t="shared" si="32"/>
        <v/>
      </c>
      <c r="AK43" s="92" t="str">
        <f t="shared" si="33"/>
        <v/>
      </c>
      <c r="AL43" s="630" t="str">
        <f t="shared" si="17"/>
        <v/>
      </c>
      <c r="AM43" s="655" t="str">
        <f>IF(ISNUMBER($C43),IF(AND(ISNUMBER(BU43),$B43&lt;=$CD$45),BU43,""),"")</f>
        <v/>
      </c>
      <c r="AN43" s="653" t="str">
        <f t="shared" si="60"/>
        <v/>
      </c>
      <c r="AO43" s="92" t="str">
        <f t="shared" si="60"/>
        <v/>
      </c>
      <c r="AP43" s="654" t="str">
        <f>IF(ISNUMBER($C43),IF(AND(ISNUMBER(BX43),$B43&lt;=$CD$45),IF($X$7="cm",BX43,IF($X$7="mm",BX43*10,"")),""),"")</f>
        <v/>
      </c>
      <c r="AQ43" s="664">
        <v>1.1000000000000001</v>
      </c>
      <c r="AR43" s="1160" t="str">
        <f>IF(OR(AQ33&lt;0,AR33&lt;0,AS33&lt;0),"Difference between Wmax and Wmin is negative (see highlighted values), some input data may be incorrect","")</f>
        <v/>
      </c>
      <c r="AS43" s="1160"/>
      <c r="AT43" s="662">
        <f t="shared" si="19"/>
        <v>91.079578612426815</v>
      </c>
      <c r="AU43" s="112"/>
      <c r="AV43" s="184"/>
      <c r="AW43" s="91">
        <v>110</v>
      </c>
      <c r="AX43" s="91" t="e">
        <f t="shared" si="38"/>
        <v>#VALUE!</v>
      </c>
      <c r="AY43" s="59" t="e">
        <f t="shared" si="56"/>
        <v>#N/A</v>
      </c>
      <c r="AZ43" s="160">
        <f t="shared" si="51"/>
        <v>30</v>
      </c>
      <c r="BA43" s="91" t="e">
        <f t="shared" si="39"/>
        <v>#VALUE!</v>
      </c>
      <c r="BB43" s="85" t="str">
        <f t="shared" si="52"/>
        <v/>
      </c>
      <c r="BC43" s="59" t="str">
        <f t="shared" si="40"/>
        <v/>
      </c>
      <c r="BD43" s="678">
        <f t="shared" si="57"/>
        <v>1.2437309428929626</v>
      </c>
      <c r="BE43" s="160" t="e">
        <f t="shared" si="41"/>
        <v>#N/A</v>
      </c>
      <c r="BF43" s="67" t="str">
        <f t="shared" si="20"/>
        <v/>
      </c>
      <c r="BG43" s="59" t="str">
        <f t="shared" si="42"/>
        <v/>
      </c>
      <c r="BH43" s="678">
        <f t="shared" si="58"/>
        <v>0.91245369257101283</v>
      </c>
      <c r="BI43" s="160" t="e">
        <f t="shared" si="43"/>
        <v>#N/A</v>
      </c>
      <c r="BJ43" s="59" t="str">
        <f>IF(ISNUMBER(BE43),BE43,"")</f>
        <v/>
      </c>
      <c r="BK43" s="59" t="str">
        <f t="shared" si="44"/>
        <v/>
      </c>
      <c r="BL43" s="678">
        <f t="shared" si="59"/>
        <v>0.45810464930947409</v>
      </c>
      <c r="BN43" s="85">
        <f>BN42+BD43</f>
        <v>13.903642022384867</v>
      </c>
      <c r="BO43" s="160">
        <f>BO42+BH43</f>
        <v>13.437310973885507</v>
      </c>
      <c r="BP43" s="160">
        <f>BP42+BL43</f>
        <v>9.1079578612426815</v>
      </c>
      <c r="BQ43" s="184" t="str">
        <f t="shared" si="45"/>
        <v/>
      </c>
      <c r="BR43" s="184" t="str">
        <f t="shared" si="46"/>
        <v/>
      </c>
      <c r="BS43" s="114" t="str">
        <f t="shared" si="22"/>
        <v/>
      </c>
      <c r="BT43" s="184" t="str">
        <f t="shared" si="47"/>
        <v/>
      </c>
      <c r="BU43" s="184" t="str">
        <f t="shared" si="23"/>
        <v/>
      </c>
      <c r="BV43" s="184" t="str">
        <f t="shared" si="24"/>
        <v/>
      </c>
      <c r="BW43" s="114" t="str">
        <f t="shared" si="25"/>
        <v/>
      </c>
      <c r="BX43" s="336" t="str">
        <f t="shared" si="48"/>
        <v/>
      </c>
      <c r="BY43" s="161"/>
      <c r="BZ43" s="161"/>
      <c r="CA43" s="161"/>
      <c r="CB43" s="161"/>
      <c r="CC43" s="161"/>
      <c r="CD43" s="161" t="str">
        <f t="shared" si="49"/>
        <v/>
      </c>
      <c r="CE43" s="161" t="str">
        <f>IF(ISNUMBER(C43),C43*100-100,"")</f>
        <v/>
      </c>
      <c r="CF43" s="161"/>
      <c r="CG43" s="337" t="str">
        <f t="shared" si="26"/>
        <v/>
      </c>
      <c r="CH43" s="337" t="str">
        <f t="shared" si="27"/>
        <v/>
      </c>
      <c r="CI43" s="337" t="str">
        <f t="shared" si="28"/>
        <v/>
      </c>
      <c r="CJ43" s="337"/>
      <c r="CK43" s="161"/>
      <c r="CL43" s="337"/>
      <c r="CM43" s="161"/>
    </row>
    <row r="44" spans="1:91" ht="15" thickBot="1">
      <c r="B44" s="248">
        <v>12</v>
      </c>
      <c r="C44" s="1032" t="str">
        <f t="shared" si="3"/>
        <v/>
      </c>
      <c r="D44" s="1054"/>
      <c r="E44" s="1031" t="str">
        <f t="shared" si="4"/>
        <v/>
      </c>
      <c r="F44" s="1032"/>
      <c r="G44" s="1182" t="str">
        <f t="shared" si="5"/>
        <v/>
      </c>
      <c r="H44" s="1182"/>
      <c r="I44" s="1182" t="str">
        <f t="shared" si="6"/>
        <v/>
      </c>
      <c r="J44" s="1182"/>
      <c r="K44" s="1182" t="str">
        <f t="shared" si="7"/>
        <v/>
      </c>
      <c r="L44" s="1183"/>
      <c r="M44" s="1186" t="str">
        <f t="shared" si="8"/>
        <v/>
      </c>
      <c r="N44" s="1054"/>
      <c r="O44" s="1187" t="str">
        <f t="shared" si="9"/>
        <v/>
      </c>
      <c r="P44" s="1182"/>
      <c r="Q44" s="1182" t="str">
        <f t="shared" si="10"/>
        <v/>
      </c>
      <c r="R44" s="1183"/>
      <c r="S44" s="1187" t="str">
        <f t="shared" si="11"/>
        <v/>
      </c>
      <c r="T44" s="1182"/>
      <c r="U44" s="1182" t="str">
        <f t="shared" si="12"/>
        <v/>
      </c>
      <c r="V44" s="1182"/>
      <c r="W44" s="1182" t="str">
        <f t="shared" si="13"/>
        <v/>
      </c>
      <c r="X44" s="1182"/>
      <c r="Y44" s="1182" t="str">
        <f t="shared" si="14"/>
        <v/>
      </c>
      <c r="Z44" s="1182"/>
      <c r="AA44" s="1182" t="str">
        <f t="shared" si="29"/>
        <v/>
      </c>
      <c r="AB44" s="1188"/>
      <c r="AC44" s="1031" t="str">
        <f t="shared" si="15"/>
        <v/>
      </c>
      <c r="AD44" s="1054"/>
      <c r="AE44" s="1189" t="str">
        <f t="shared" si="30"/>
        <v/>
      </c>
      <c r="AF44" s="1190"/>
      <c r="AG44" s="1187" t="str">
        <f t="shared" si="16"/>
        <v/>
      </c>
      <c r="AH44" s="1183"/>
      <c r="AI44" s="422" t="str">
        <f t="shared" si="31"/>
        <v/>
      </c>
      <c r="AJ44" s="421" t="str">
        <f t="shared" si="32"/>
        <v/>
      </c>
      <c r="AK44" s="178" t="str">
        <f t="shared" si="33"/>
        <v/>
      </c>
      <c r="AL44" s="631" t="str">
        <f t="shared" si="17"/>
        <v/>
      </c>
      <c r="AM44" s="656" t="str">
        <f>IF(ISNUMBER($C44),IF(AND(ISNUMBER(BU44),$B44&lt;=$CD$45),BU44,""),"")</f>
        <v/>
      </c>
      <c r="AN44" s="657" t="str">
        <f t="shared" si="60"/>
        <v/>
      </c>
      <c r="AO44" s="178" t="str">
        <f t="shared" si="60"/>
        <v/>
      </c>
      <c r="AP44" s="658" t="str">
        <f>IF(ISNUMBER($C44),IF(AND(ISNUMBER(BX44),$B44&lt;=$CD$45),IF($X$7="cm",BX44,IF($X$7="mm",BX44*10,"")),""),"")</f>
        <v/>
      </c>
      <c r="AQ44" s="663">
        <v>1.2</v>
      </c>
      <c r="AR44" s="1161"/>
      <c r="AS44" s="1161"/>
      <c r="AT44" s="663">
        <f t="shared" si="19"/>
        <v>95.579980967132229</v>
      </c>
      <c r="AU44" s="112"/>
      <c r="AV44" s="184"/>
      <c r="AW44" s="91">
        <v>120</v>
      </c>
      <c r="AX44" s="91" t="e">
        <f t="shared" si="38"/>
        <v>#VALUE!</v>
      </c>
      <c r="AY44" s="59">
        <f t="shared" si="56"/>
        <v>1.1583658242828849</v>
      </c>
      <c r="AZ44" s="160">
        <f t="shared" si="51"/>
        <v>30</v>
      </c>
      <c r="BA44" s="91" t="e">
        <f t="shared" si="39"/>
        <v>#VALUE!</v>
      </c>
      <c r="BB44" s="85" t="str">
        <f t="shared" si="52"/>
        <v/>
      </c>
      <c r="BC44" s="59">
        <f t="shared" si="40"/>
        <v>1.1583658242828849</v>
      </c>
      <c r="BD44" s="678">
        <f t="shared" si="57"/>
        <v>1.1583658242828849</v>
      </c>
      <c r="BE44" s="160">
        <f t="shared" si="41"/>
        <v>0.97622040091763118</v>
      </c>
      <c r="BF44" s="67" t="str">
        <f t="shared" si="20"/>
        <v/>
      </c>
      <c r="BG44" s="59">
        <f t="shared" si="42"/>
        <v>0.97622040091763118</v>
      </c>
      <c r="BH44" s="678">
        <f t="shared" si="58"/>
        <v>0.97622040091763118</v>
      </c>
      <c r="BI44" s="160">
        <f t="shared" si="43"/>
        <v>0.45004023547054284</v>
      </c>
      <c r="BJ44" s="59">
        <f>IF(ISNUMBER(BE44),BE44,"")</f>
        <v>0.97622040091763118</v>
      </c>
      <c r="BK44" s="59">
        <f t="shared" si="44"/>
        <v>0.45004023547054284</v>
      </c>
      <c r="BL44" s="678">
        <f t="shared" si="59"/>
        <v>0.45004023547054284</v>
      </c>
      <c r="BN44" s="85">
        <f>BN43+BD44</f>
        <v>15.062007846667752</v>
      </c>
      <c r="BO44" s="160">
        <f>BO43+BH44</f>
        <v>14.413531374803139</v>
      </c>
      <c r="BP44" s="160">
        <f>BP43+BL44</f>
        <v>9.5579980967132236</v>
      </c>
      <c r="BQ44" s="184" t="str">
        <f t="shared" si="45"/>
        <v/>
      </c>
      <c r="BR44" s="184" t="str">
        <f t="shared" si="46"/>
        <v/>
      </c>
      <c r="BS44" s="114" t="str">
        <f t="shared" si="22"/>
        <v/>
      </c>
      <c r="BT44" s="184" t="str">
        <f t="shared" si="47"/>
        <v/>
      </c>
      <c r="BU44" s="184" t="str">
        <f t="shared" si="23"/>
        <v/>
      </c>
      <c r="BV44" s="184" t="str">
        <f t="shared" si="24"/>
        <v/>
      </c>
      <c r="BW44" s="114" t="str">
        <f t="shared" si="25"/>
        <v/>
      </c>
      <c r="BX44" s="336" t="str">
        <f t="shared" si="48"/>
        <v/>
      </c>
      <c r="BY44" s="161"/>
      <c r="BZ44" s="161"/>
      <c r="CA44" s="161"/>
      <c r="CB44" s="161"/>
      <c r="CC44" s="161"/>
      <c r="CD44" s="161"/>
      <c r="CE44" s="161" t="str">
        <f t="shared" si="50"/>
        <v/>
      </c>
      <c r="CF44" s="161"/>
      <c r="CG44" s="337" t="str">
        <f t="shared" si="26"/>
        <v/>
      </c>
      <c r="CH44" s="337" t="str">
        <f t="shared" si="27"/>
        <v/>
      </c>
      <c r="CI44" s="337" t="str">
        <f t="shared" si="28"/>
        <v/>
      </c>
      <c r="CJ44" s="337"/>
      <c r="CK44" s="161"/>
      <c r="CL44" s="337"/>
      <c r="CM44" s="161"/>
    </row>
    <row r="45" spans="1:91">
      <c r="B45" s="169"/>
      <c r="C45" s="161"/>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661"/>
      <c r="AR45" s="1161"/>
      <c r="AS45" s="1161"/>
      <c r="AT45" s="661"/>
      <c r="AU45" s="168"/>
      <c r="AV45" s="161"/>
      <c r="AW45" s="91">
        <v>130</v>
      </c>
      <c r="AX45" s="91"/>
      <c r="AY45" s="59" t="e">
        <f t="shared" si="56"/>
        <v>#N/A</v>
      </c>
      <c r="AZ45" s="160">
        <f t="shared" si="51"/>
        <v>30</v>
      </c>
      <c r="BA45" s="91">
        <f t="shared" si="39"/>
        <v>0</v>
      </c>
      <c r="BB45" s="85" t="str">
        <f t="shared" si="52"/>
        <v/>
      </c>
      <c r="BD45" s="678" t="str">
        <f t="shared" si="57"/>
        <v/>
      </c>
      <c r="BE45" s="160" t="e">
        <f t="shared" si="41"/>
        <v>#N/A</v>
      </c>
      <c r="BF45" s="67"/>
      <c r="BH45" s="678" t="str">
        <f t="shared" si="58"/>
        <v/>
      </c>
      <c r="BI45" s="160" t="e">
        <f t="shared" si="43"/>
        <v>#N/A</v>
      </c>
      <c r="BK45" s="650" t="str">
        <f t="shared" si="44"/>
        <v/>
      </c>
      <c r="BL45" s="678" t="e">
        <f t="shared" si="59"/>
        <v>#VALUE!</v>
      </c>
      <c r="BP45" s="650" t="e">
        <f>BP44+BL45</f>
        <v>#VALUE!</v>
      </c>
      <c r="BQ45" s="161"/>
      <c r="BR45" s="161"/>
      <c r="BS45" s="161"/>
      <c r="BT45" s="161"/>
      <c r="BU45" s="161"/>
      <c r="BV45" s="161"/>
      <c r="BW45" s="161"/>
      <c r="BX45" s="161"/>
      <c r="BY45" s="161"/>
      <c r="BZ45" s="161"/>
      <c r="CA45" s="161"/>
      <c r="CB45" s="161"/>
      <c r="CC45" s="161"/>
      <c r="CD45" s="161">
        <f>MATCH(0,CD33:CD41,1)</f>
        <v>6</v>
      </c>
      <c r="CE45" s="161">
        <f>MATCH(0,CE33:CE41,1)</f>
        <v>5</v>
      </c>
      <c r="CF45" s="161"/>
      <c r="CG45" s="161"/>
      <c r="CH45" s="161"/>
      <c r="CI45" s="161"/>
      <c r="CJ45" s="161"/>
      <c r="CK45" s="161"/>
      <c r="CL45" s="161"/>
      <c r="CM45" s="161"/>
    </row>
    <row r="46" spans="1:91">
      <c r="B46" s="169"/>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161"/>
      <c r="AS46" s="1161"/>
      <c r="AT46" s="161"/>
      <c r="AU46" s="168"/>
      <c r="AV46" s="161"/>
      <c r="AW46" s="91">
        <v>140</v>
      </c>
      <c r="AX46" s="91"/>
      <c r="AY46" s="59" t="e">
        <f t="shared" si="56"/>
        <v>#N/A</v>
      </c>
      <c r="AZ46" s="160">
        <f t="shared" si="51"/>
        <v>30</v>
      </c>
      <c r="BA46" s="91">
        <f t="shared" si="39"/>
        <v>0</v>
      </c>
      <c r="BD46" s="678" t="str">
        <f t="shared" si="57"/>
        <v/>
      </c>
      <c r="BE46" s="160" t="e">
        <f t="shared" si="41"/>
        <v>#N/A</v>
      </c>
      <c r="BF46" s="67"/>
      <c r="BH46" s="678" t="str">
        <f t="shared" si="58"/>
        <v/>
      </c>
      <c r="BI46" s="160" t="e">
        <f t="shared" si="43"/>
        <v>#N/A</v>
      </c>
      <c r="BK46" s="650" t="str">
        <f t="shared" si="44"/>
        <v/>
      </c>
      <c r="BL46" s="678" t="e">
        <f t="shared" si="59"/>
        <v>#VALUE!</v>
      </c>
      <c r="BP46" s="650" t="e">
        <f>BP45+BL46</f>
        <v>#VALUE!</v>
      </c>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row>
    <row r="47" spans="1:91" s="52" customFormat="1" ht="18.5">
      <c r="A47" s="324"/>
      <c r="B47" s="188" t="s">
        <v>515</v>
      </c>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c r="AQ47" s="194"/>
      <c r="AR47" s="194"/>
      <c r="AS47" s="194"/>
      <c r="AT47" s="194"/>
      <c r="AU47" s="107"/>
      <c r="AV47" s="194"/>
      <c r="AW47" s="91">
        <v>150</v>
      </c>
      <c r="AX47" s="36"/>
      <c r="AY47" s="59" t="e">
        <f t="shared" si="56"/>
        <v>#N/A</v>
      </c>
      <c r="BA47" s="91">
        <f>ROUND(C47*10,0)*10</f>
        <v>0</v>
      </c>
      <c r="BD47" s="678" t="str">
        <f t="shared" si="57"/>
        <v/>
      </c>
      <c r="BE47" s="160" t="e">
        <f t="shared" si="41"/>
        <v>#N/A</v>
      </c>
      <c r="BH47" s="678" t="str">
        <f t="shared" si="58"/>
        <v/>
      </c>
      <c r="BK47" s="650" t="str">
        <f t="shared" si="44"/>
        <v/>
      </c>
      <c r="BL47" s="678" t="str">
        <f t="shared" si="59"/>
        <v/>
      </c>
      <c r="BQ47" s="194"/>
      <c r="BR47" s="194"/>
      <c r="BS47" s="194"/>
      <c r="BT47" s="194"/>
      <c r="BU47" s="194"/>
      <c r="BV47" s="194"/>
      <c r="BW47" s="194"/>
      <c r="BX47" s="194"/>
      <c r="BY47" s="194"/>
      <c r="BZ47" s="194"/>
      <c r="CA47" s="194"/>
      <c r="CB47" s="194"/>
      <c r="CC47" s="194"/>
      <c r="CD47" s="194"/>
      <c r="CE47" s="194"/>
      <c r="CF47" s="194"/>
      <c r="CG47" s="194"/>
      <c r="CH47" s="194"/>
      <c r="CI47" s="194"/>
      <c r="CJ47" s="194"/>
      <c r="CK47" s="194"/>
      <c r="CL47" s="194"/>
      <c r="CM47" s="194"/>
    </row>
    <row r="48" spans="1:91" ht="25.5" customHeight="1" thickBot="1">
      <c r="B48" s="108" t="str">
        <f>P9</f>
        <v>Soil 55</v>
      </c>
      <c r="C48" s="161"/>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77"/>
      <c r="AS48" s="177"/>
      <c r="AT48" s="177"/>
      <c r="AU48" s="113"/>
      <c r="AV48" s="177"/>
      <c r="AW48" s="91">
        <v>160</v>
      </c>
      <c r="AX48" s="36"/>
      <c r="BQ48" s="161"/>
      <c r="BR48" s="161"/>
      <c r="BS48" s="161"/>
      <c r="BT48" s="161"/>
      <c r="BU48" s="161"/>
      <c r="BV48" s="161"/>
      <c r="BW48" s="161"/>
      <c r="BX48" s="161"/>
      <c r="BY48" s="161"/>
      <c r="BZ48" s="161"/>
      <c r="CA48" s="161"/>
      <c r="CB48" s="161"/>
      <c r="CC48" s="161"/>
      <c r="CD48" s="161"/>
      <c r="CE48" s="161"/>
      <c r="CF48" s="161"/>
      <c r="CG48" s="161"/>
      <c r="CH48" s="161"/>
      <c r="CI48" s="161"/>
      <c r="CJ48" s="161"/>
      <c r="CK48" s="161"/>
      <c r="CL48" s="161"/>
      <c r="CM48" s="161"/>
    </row>
    <row r="49" spans="2:91">
      <c r="B49" s="65" t="s">
        <v>465</v>
      </c>
      <c r="C49" s="66"/>
      <c r="D49" s="331"/>
      <c r="E49" s="1193" t="s">
        <v>874</v>
      </c>
      <c r="F49" s="1194"/>
      <c r="G49" s="1194"/>
      <c r="H49" s="1194"/>
      <c r="I49" s="1194"/>
      <c r="J49" s="1194"/>
      <c r="K49" s="1194"/>
      <c r="L49" s="1192"/>
      <c r="M49" s="1191" t="s">
        <v>568</v>
      </c>
      <c r="N49" s="1192"/>
      <c r="O49" s="1193" t="s">
        <v>875</v>
      </c>
      <c r="P49" s="1194"/>
      <c r="Q49" s="1194"/>
      <c r="R49" s="1192"/>
      <c r="S49" s="1193" t="s">
        <v>876</v>
      </c>
      <c r="T49" s="1194"/>
      <c r="U49" s="1194"/>
      <c r="V49" s="1194"/>
      <c r="W49" s="1194"/>
      <c r="X49" s="1194"/>
      <c r="Y49" s="1194"/>
      <c r="Z49" s="1194"/>
      <c r="AA49" s="1194"/>
      <c r="AB49" s="1192"/>
      <c r="AC49" s="1193" t="s">
        <v>546</v>
      </c>
      <c r="AD49" s="1192"/>
      <c r="AE49" s="1196" t="s">
        <v>972</v>
      </c>
      <c r="AF49" s="1197"/>
      <c r="AG49" s="1191" t="s">
        <v>547</v>
      </c>
      <c r="AH49" s="1192"/>
      <c r="AI49" s="1164" t="s">
        <v>631</v>
      </c>
      <c r="AJ49" s="1165"/>
      <c r="AK49" s="1165"/>
      <c r="AL49" s="1166"/>
      <c r="AM49" s="1164" t="s">
        <v>632</v>
      </c>
      <c r="AN49" s="1165"/>
      <c r="AO49" s="1165"/>
      <c r="AP49" s="1166"/>
      <c r="AQ49" s="626" t="s">
        <v>633</v>
      </c>
      <c r="AR49" s="1167" t="str">
        <f>IF($X$7="cm","Cumulative PAWC (cm/0.1m)",IF($X$7="mm","Cumulative PAWC (mm/0.1m)",""))</f>
        <v>Cumulative PAWC (mm/0.1m)</v>
      </c>
      <c r="AS49" s="1168"/>
      <c r="AT49" s="1169"/>
      <c r="AU49" s="109"/>
      <c r="AV49" s="243"/>
      <c r="AW49" s="267"/>
      <c r="AX49" s="59"/>
      <c r="AY49" s="63" t="s">
        <v>637</v>
      </c>
      <c r="AZ49" s="63"/>
      <c r="BA49" s="63"/>
      <c r="BB49" s="90"/>
      <c r="BC49" s="59"/>
      <c r="BD49" s="59"/>
      <c r="BE49" s="59"/>
      <c r="BF49" s="59"/>
      <c r="BG49" s="59"/>
      <c r="BH49" s="59"/>
      <c r="BI49" s="59"/>
      <c r="BJ49" s="59"/>
      <c r="BK49" s="59"/>
      <c r="BL49" s="59"/>
      <c r="BQ49" s="93" t="s">
        <v>631</v>
      </c>
      <c r="BR49" s="93"/>
      <c r="BS49" s="93"/>
      <c r="BT49" s="93"/>
      <c r="BU49" s="93" t="s">
        <v>632</v>
      </c>
      <c r="BV49" s="93"/>
      <c r="BW49" s="93"/>
      <c r="BX49" s="93"/>
      <c r="BY49" s="161"/>
      <c r="BZ49" s="161"/>
      <c r="CA49" s="161"/>
      <c r="CB49" s="161"/>
      <c r="CC49" s="161"/>
      <c r="CD49" s="161"/>
      <c r="CE49" s="161" t="s">
        <v>566</v>
      </c>
      <c r="CF49" s="161"/>
      <c r="CG49" s="161"/>
      <c r="CH49" s="161"/>
      <c r="CI49" s="161"/>
      <c r="CJ49" s="161"/>
      <c r="CK49" s="161"/>
      <c r="CL49" s="161"/>
      <c r="CM49" s="161"/>
    </row>
    <row r="50" spans="2:91">
      <c r="B50" s="361" t="s">
        <v>567</v>
      </c>
      <c r="C50" s="1052" t="s">
        <v>870</v>
      </c>
      <c r="D50" s="1022"/>
      <c r="E50" s="1198" t="s">
        <v>100</v>
      </c>
      <c r="F50" s="1172"/>
      <c r="G50" s="1172" t="s">
        <v>4</v>
      </c>
      <c r="H50" s="1172"/>
      <c r="I50" s="1172" t="s">
        <v>568</v>
      </c>
      <c r="J50" s="1172"/>
      <c r="K50" s="1172" t="s">
        <v>8</v>
      </c>
      <c r="L50" s="1200"/>
      <c r="M50" s="1201" t="s">
        <v>817</v>
      </c>
      <c r="N50" s="1202"/>
      <c r="O50" s="1198" t="s">
        <v>569</v>
      </c>
      <c r="P50" s="1172"/>
      <c r="Q50" s="1172" t="s">
        <v>4</v>
      </c>
      <c r="R50" s="1200"/>
      <c r="S50" s="1198" t="s">
        <v>100</v>
      </c>
      <c r="T50" s="1172"/>
      <c r="U50" s="1172" t="s">
        <v>570</v>
      </c>
      <c r="V50" s="1172"/>
      <c r="W50" s="1172" t="s">
        <v>568</v>
      </c>
      <c r="X50" s="1172"/>
      <c r="Y50" s="1172" t="s">
        <v>8</v>
      </c>
      <c r="Z50" s="1172"/>
      <c r="AA50" s="1172" t="s">
        <v>565</v>
      </c>
      <c r="AB50" s="1200"/>
      <c r="AC50" s="1198" t="s">
        <v>568</v>
      </c>
      <c r="AD50" s="1200"/>
      <c r="AE50" s="1198" t="s">
        <v>571</v>
      </c>
      <c r="AF50" s="1200"/>
      <c r="AG50" s="1204" t="str">
        <f>IF($X$7="cm","cm",IF($X$7="mm","mm",""))</f>
        <v>mm</v>
      </c>
      <c r="AH50" s="1200"/>
      <c r="AI50" s="411" t="s">
        <v>546</v>
      </c>
      <c r="AJ50" s="410" t="s">
        <v>103</v>
      </c>
      <c r="AK50" s="410" t="s">
        <v>104</v>
      </c>
      <c r="AL50" s="624" t="str">
        <f>IF($X$7="cm","PAWC (cm/0.1m)",IF($X$7="mm","PAWC (mm/0.1m)",""))</f>
        <v>PAWC (mm/0.1m)</v>
      </c>
      <c r="AM50" s="411" t="s">
        <v>628</v>
      </c>
      <c r="AN50" s="410" t="s">
        <v>629</v>
      </c>
      <c r="AO50" s="410" t="s">
        <v>104</v>
      </c>
      <c r="AP50" s="624" t="str">
        <f>IF($X$7="cm","PAWC (cm/0.1m)",IF($X$7="mm","PAWC (mm/0.1m)",""))</f>
        <v>PAWC (mm/0.1m)</v>
      </c>
      <c r="AQ50" s="332" t="s">
        <v>636</v>
      </c>
      <c r="AR50" s="623" t="s">
        <v>634</v>
      </c>
      <c r="AS50" s="623" t="s">
        <v>635</v>
      </c>
      <c r="AT50" s="624" t="s">
        <v>632</v>
      </c>
      <c r="AU50" s="110"/>
      <c r="AV50" s="252"/>
      <c r="AW50" s="33"/>
      <c r="AX50" s="59"/>
      <c r="AY50" s="59"/>
      <c r="AZ50" s="59" t="s">
        <v>639</v>
      </c>
      <c r="BA50" s="59" t="s">
        <v>638</v>
      </c>
      <c r="BB50" s="59" t="s">
        <v>634</v>
      </c>
      <c r="BC50" s="59"/>
      <c r="BD50" s="59"/>
      <c r="BE50" s="59" t="s">
        <v>641</v>
      </c>
      <c r="BF50" s="59" t="s">
        <v>640</v>
      </c>
      <c r="BG50" s="59"/>
      <c r="BH50" s="59"/>
      <c r="BI50" s="59" t="s">
        <v>641</v>
      </c>
      <c r="BJ50" s="59" t="s">
        <v>632</v>
      </c>
      <c r="BK50" s="59"/>
      <c r="BL50" s="59"/>
      <c r="BN50" s="59" t="s">
        <v>634</v>
      </c>
      <c r="BO50" s="59" t="s">
        <v>640</v>
      </c>
      <c r="BP50" s="59" t="s">
        <v>632</v>
      </c>
      <c r="BQ50" s="161" t="s">
        <v>546</v>
      </c>
      <c r="BR50" s="161" t="s">
        <v>103</v>
      </c>
      <c r="BS50" s="161" t="s">
        <v>104</v>
      </c>
      <c r="BT50" s="161" t="s">
        <v>547</v>
      </c>
      <c r="BU50" s="161" t="s">
        <v>628</v>
      </c>
      <c r="BV50" s="161" t="s">
        <v>629</v>
      </c>
      <c r="BW50" s="161" t="s">
        <v>104</v>
      </c>
      <c r="BX50" s="161" t="s">
        <v>547</v>
      </c>
      <c r="BY50" s="161"/>
      <c r="BZ50" s="161"/>
      <c r="CA50" s="161"/>
      <c r="CB50" s="161"/>
      <c r="CC50" s="161"/>
      <c r="CD50" s="161" t="s">
        <v>1511</v>
      </c>
      <c r="CE50" s="161"/>
      <c r="CF50" s="161"/>
      <c r="CG50" s="161"/>
      <c r="CH50" s="1199" t="s">
        <v>4</v>
      </c>
      <c r="CI50" s="1199"/>
      <c r="CJ50" s="1199" t="s">
        <v>568</v>
      </c>
      <c r="CK50" s="1199"/>
      <c r="CL50" s="1199" t="s">
        <v>8</v>
      </c>
      <c r="CM50" s="1199"/>
    </row>
    <row r="51" spans="2:91">
      <c r="B51" s="247">
        <v>1</v>
      </c>
      <c r="C51" s="1025">
        <f>Q12</f>
        <v>0.1</v>
      </c>
      <c r="D51" s="1178"/>
      <c r="E51" s="1029" t="str">
        <f t="shared" ref="E51:E62" si="61">X12</f>
        <v/>
      </c>
      <c r="F51" s="1025"/>
      <c r="G51" s="1170">
        <f t="shared" ref="G51:G62" si="62">IF(CH51&lt;0.5,0.5,CH51)</f>
        <v>2.54</v>
      </c>
      <c r="H51" s="1170"/>
      <c r="I51" s="1170">
        <f t="shared" ref="I51:I62" si="63">IF(CJ51&lt;0.5,0.5,CJ51)</f>
        <v>4.3839999999999995</v>
      </c>
      <c r="J51" s="1170"/>
      <c r="K51" s="1170">
        <f t="shared" ref="K51:K62" si="64">IF(CL51&lt;0.5,0.5,CL51)</f>
        <v>1.7114847301680043</v>
      </c>
      <c r="L51" s="1171"/>
      <c r="M51" s="1175">
        <f t="shared" ref="M51:M62" si="65">Y12</f>
        <v>13.7</v>
      </c>
      <c r="N51" s="1026"/>
      <c r="O51" s="1176" t="str">
        <f t="shared" ref="O51:O62" si="66">IF(ISNUMBER(X12),(30.34+6.57*X12),"")</f>
        <v/>
      </c>
      <c r="P51" s="1170"/>
      <c r="Q51" s="1170">
        <f t="shared" ref="Q51:Q62" si="67">IF(ISNUMBER(S12),(33.21+1.03*S12),"")</f>
        <v>41.45</v>
      </c>
      <c r="R51" s="1171"/>
      <c r="S51" s="1176" t="str">
        <f t="shared" ref="S51:S62" si="68">IF(ISNUMBER(X12),(8.04+3.08*X12),"")</f>
        <v/>
      </c>
      <c r="T51" s="1170"/>
      <c r="U51" s="1170">
        <f t="shared" ref="U51:U62" si="69">IF(ISNUMBER(S12),(12.18+0.43*S12),"")</f>
        <v>15.62</v>
      </c>
      <c r="V51" s="1170"/>
      <c r="W51" s="1170">
        <f t="shared" ref="W51:W62" si="70">IF(ISNUMBER(Y12),(5.48+1.23*(Y12)),"")</f>
        <v>22.331</v>
      </c>
      <c r="X51" s="1170"/>
      <c r="Y51" s="1170">
        <f t="shared" ref="Y51:Y62" si="71">IF(ISNUMBER(R12),(2.6+0.057*R12)^2,"")</f>
        <v>12.737760999999999</v>
      </c>
      <c r="Z51" s="1170"/>
      <c r="AA51" s="1170">
        <f>IF(ISNUMBER(C51),AVERAGE(S51:Z51),"")</f>
        <v>16.896253666666667</v>
      </c>
      <c r="AB51" s="1171"/>
      <c r="AC51" s="1029">
        <f t="shared" ref="AC51:AC62" si="72">M51</f>
        <v>13.7</v>
      </c>
      <c r="AD51" s="1026"/>
      <c r="AE51" s="1180">
        <f t="shared" ref="AE51:AE61" si="73">IF(ISNUMBER(C51),((0.852+0.0012*R12)*1000)/(0.3774+AA51/100),"")</f>
        <v>1596.7419825716331</v>
      </c>
      <c r="AF51" s="1181"/>
      <c r="AG51" s="1177">
        <f t="shared" ref="AG51:AG62" si="74">IF(ISNUMBER(C51),IF(AND(ISNUMBER(BB51),B51&lt;=CE$63),IF($X$7="cm",BB51,IF($X$7="mm",BB51*10,"")),""),"")</f>
        <v>5.1035924165151867</v>
      </c>
      <c r="AH51" s="1171"/>
      <c r="AI51" s="420">
        <f>IF(ISNUMBER($C51),IF(AND(ISNUMBER(BQ51),$B51&lt;=$CE$63),BQ51,""),"")</f>
        <v>12.233979999999999</v>
      </c>
      <c r="AJ51" s="418">
        <f t="shared" ref="AJ51:AK62" si="75">IF(ISNUMBER($C51),IF(AND(ISNUMBER(BR51),$B51&lt;=$CE$63),BR51,""),"")</f>
        <v>27.500799999999998</v>
      </c>
      <c r="AK51" s="92">
        <f t="shared" si="75"/>
        <v>1337.2000343343429</v>
      </c>
      <c r="AL51" s="630">
        <f t="shared" ref="AL51:AL62" si="76">IF(ISNUMBER($C51),IF(AND(ISNUMBER(BT51),$B51&lt;=$CE$63),IF($X$7="cm",BT51,IF($X$7="mm",BT51*10,"")),""),"")</f>
        <v>20.414792228176228</v>
      </c>
      <c r="AM51" s="655">
        <f t="shared" ref="AM51:AM57" si="77">IF(ISNUMBER($C51),IF(AND(ISNUMBER(BU51),$B51&lt;=$CD$45),BU51,""),"")</f>
        <v>16.003592000000001</v>
      </c>
      <c r="AN51" s="653">
        <f>IF(ISNUMBER($C51),IF(AND(ISNUMBER(BV51),$B51&lt;=$CD$45),BV51,""),"")</f>
        <v>24.84018379585217</v>
      </c>
      <c r="AO51" s="92">
        <f>IF(ISNUMBER($C51),IF(AND(ISNUMBER(BW51),$B51&lt;=$CD$45),BW51,""),"")</f>
        <v>1394.0515145272277</v>
      </c>
      <c r="AP51" s="654">
        <f>IF(ISNUMBER($C51),IF(AND(ISNUMBER(BX51),$B51&lt;=$CD$45),IF($X$7="cm",BX51,IF($X$7="mm",BX51*10,"")),""),"")</f>
        <v>12.318664176266589</v>
      </c>
      <c r="AQ51" s="625">
        <v>0.1</v>
      </c>
      <c r="AR51" s="629">
        <f>IF(AND(ISNUMBER(BN51),$X$7="cm"),BN51,IF(AND(ISNUMBER(BN51),$X$7="mm"),BN51*10,""))</f>
        <v>5.1035924165151867</v>
      </c>
      <c r="AS51" s="629">
        <f t="shared" ref="AS51:AS60" si="78">IF(AND(ISNUMBER(BO51),$X$7="cm"),BO51,IF(AND(ISNUMBER(BO51),$X$7="mm"),BO51*10,""))</f>
        <v>20.414792228176228</v>
      </c>
      <c r="AT51" s="630">
        <f t="shared" ref="AT51:AT62" si="79">IF(AND(ISNUMBER(BP51),$X$7="cm"),BP51,IF(AND(ISNUMBER(BP51),$X$7="mm"),BP51*10,""))</f>
        <v>12.318664176266589</v>
      </c>
      <c r="AU51" s="111"/>
      <c r="AV51" s="338"/>
      <c r="AW51" s="91">
        <v>10</v>
      </c>
      <c r="AX51" s="59">
        <f>C51*100</f>
        <v>10</v>
      </c>
      <c r="AY51" s="160">
        <f>VLOOKUP(AW51,BA$51:BB$62,2,FALSE)</f>
        <v>0.51035924165151869</v>
      </c>
      <c r="AZ51" s="59">
        <f>IF(ISNUMBER(C51),C51*100-10,"")</f>
        <v>0</v>
      </c>
      <c r="BA51" s="91">
        <f>ROUND(C51*10,0)*10</f>
        <v>10</v>
      </c>
      <c r="BB51" s="85">
        <f>IF(AND(ISNUMBER(C51),ISNUMBER(M51)),(((AA51/100)-(AC51/100))*(AE51/1000*10)),"")</f>
        <v>0.51035924165151869</v>
      </c>
      <c r="BC51" s="59">
        <f>IF(ISNUMBER(AY51),AY51,"")</f>
        <v>0.51035924165151869</v>
      </c>
      <c r="BD51" s="678">
        <f>IF(AND(ISNUMBER(BD50),SUM(BC51:BC57)=0,$AW51=100),BD50-BD49+BD50,IF(ISNUMBER(BC51),BC51,IF(AND(ISTEXT(BC51),$AZ51&gt;=10,$AZ51&lt;30),AVERAGE(BC50,BC52),IF(AND($AZ51=30,ISTEXT(BC51),ISNUMBER(BC50),ISNUMBER(BC52)),AVERAGE(BC50,BC52),IF(AND($AZ51=30,ISTEXT(BC51),ISTEXT(BC52)),((BC53-BC50)/3)+BC50,IF(AND($AZ51=30,ISTEXT(BC51),ISTEXT(BC50)),((BC52-BC49)/3)*2+BC49,IF(AND(ISTEXT(BC51),$AZ51&gt;30,$AZ51&lt;40),((BC52-BD50)/2)+BD50,IF(AND(ISTEXT(BC51),ISTEXT(BC52),$AZ51&gt;30),(AVERAGE(BC53:BC57)-BD50)/2+BD50,IF(AND(ISTEXT(BC51),ISTEXT(BC50),$AZ51&gt;=40),ABS(BD50-BC52)/2+MIN(BD50,BC52),"")))))))))</f>
        <v>0.51035924165151869</v>
      </c>
      <c r="BE51" s="160">
        <f>VLOOKUP(AW51,BA$51:BF$62,6,FALSE)</f>
        <v>2.0414792228176228</v>
      </c>
      <c r="BF51" s="67">
        <f t="shared" ref="BF51:BF62" si="80">BT51</f>
        <v>2.0414792228176228</v>
      </c>
      <c r="BG51" s="59">
        <f>IF(ISNUMBER(BE51),BE51,"")</f>
        <v>2.0414792228176228</v>
      </c>
      <c r="BH51" s="678">
        <f>IF(AND(ISNUMBER(BH50),SUM(BG51:BG57)=0,$AW51=100),BH50-BH49+BH50,IF(ISNUMBER(BG51),BG51,IF(AND(ISTEXT(BG51),$AZ51&gt;=10,$AZ51&lt;30),AVERAGE(BG50,BG52),IF(AND($AZ51=30,ISTEXT(BG51),ISNUMBER(BG50),ISNUMBER(BG52)),AVERAGE(BG50,BG52),IF(AND($AZ51=30,ISTEXT(BG51),ISTEXT(BG52)),((BG53-BG50)/3)+BG50,IF(AND($AZ51=30,ISTEXT(BG51),ISTEXT(BG50)),((BG52-BG49)/3)*2+BG49,IF(AND(ISTEXT(BG51),$AZ51&gt;30,$AZ51&lt;40),((BG52-BH50)/2)+BH50,IF(AND(ISTEXT(BG51),ISTEXT(BG52),$AZ51&gt;30),(AVERAGE(BG53:BG57)-BH50)/2+BH50,IF(AND(ISTEXT(BG51),ISTEXT(BG50),$AZ51&gt;=40),ABS(BH50-BG52)/2+MIN(BH50,BG52),"")))))))))</f>
        <v>2.0414792228176228</v>
      </c>
      <c r="BI51" s="160">
        <f>VLOOKUP(AW51,BA$51:BJ$67,10,FALSE)</f>
        <v>1.2318664176266589</v>
      </c>
      <c r="BJ51" s="67">
        <f t="shared" ref="BJ51:BJ60" si="81">BX51</f>
        <v>1.2318664176266589</v>
      </c>
      <c r="BK51" s="59">
        <f>IF(ISNUMBER(BI51),BI51,"")</f>
        <v>1.2318664176266589</v>
      </c>
      <c r="BL51" s="678">
        <f>IF(AND(ISNUMBER(BL50),SUM(BK51:BK57)=0,$AW51=100),BL50-BL49+BL50,IF(ISNUMBER(BK51),BK51,IF(AND(ISTEXT(BK51),$AZ51&gt;=10,$AZ51&lt;30),AVERAGE(BK50,BK52),IF(AND($AZ51=30,ISTEXT(BK51),ISNUMBER(BK50),ISNUMBER(BK52)),AVERAGE(BK50,BK52),IF(AND($AZ51=30,ISTEXT(BK51),ISTEXT(BK52)),((BK53-BK50)/3)+BK50,IF(AND($AZ51=30,ISTEXT(BK51),ISTEXT(BK50)),((BK52-BK49)/3)*2+BK49,IF(AND(ISTEXT(BK51),$AZ51&gt;30,$AZ51&lt;40),((BK52-BL50)/2)+BL50,IF(AND(ISTEXT(BK51),ISTEXT(BK52),$AZ51&gt;30),(AVERAGE(BK53:BK57)-BL50)/2+BL50,IF(AND(ISTEXT(BK51),ISTEXT(BK50),$AZ51&gt;=40),ABS(BL50-BK52)/2+MIN(BL50,BK52),"")))))))))</f>
        <v>1.2318664176266589</v>
      </c>
      <c r="BN51" s="85">
        <f>IF(ISNUMBER(BD51),BD51,"")</f>
        <v>0.51035924165151869</v>
      </c>
      <c r="BO51" s="59">
        <f>BH51</f>
        <v>2.0414792228176228</v>
      </c>
      <c r="BP51" s="59">
        <f>BL51</f>
        <v>1.2318664176266589</v>
      </c>
      <c r="BQ51" s="184">
        <f>IF(AND(ISNUMBER(C51),ISNUMBER(M51)),(-0.0176+0.022*(C51)+1.0054*(M51/100))*100,"")</f>
        <v>12.233979999999999</v>
      </c>
      <c r="BR51" s="184">
        <f>IF(AND(ISNUMBER(C51),ISNUMBER(M51)),(0.124-0.265*(C51)+0.16*((C51)^2)+1.284*(M51/100))*100,"")</f>
        <v>27.500799999999998</v>
      </c>
      <c r="BS51" s="114">
        <f t="shared" ref="BS51:BS62" si="82">IF(AND(ISNUMBER(C51),ISNUMBER(BR51)),((0.852+0.0012*R12)*1000)/(0.3774+BR51/100),"")</f>
        <v>1337.2000343343429</v>
      </c>
      <c r="BT51" s="184">
        <f>IF(ISNUMBER(BS51),(((BR51/100)-(BQ51/100))*(BS51/1000*10)),"")</f>
        <v>2.0414792228176228</v>
      </c>
      <c r="BU51" s="184">
        <f t="shared" ref="BU51:BU62" si="83">IF(AND(ISNUMBER(C51),ISNUMBER(M51)),(100*(-2.41+0.0566*R12)*(-0.0176+0.022*(C51))+1.0054*(M51)),"")</f>
        <v>16.003592000000001</v>
      </c>
      <c r="BV51" s="184">
        <f t="shared" ref="BV51:BV62" si="84">IF(AND(ISNUMBER(C51),ISNUMBER(M51)),((0.995+0.0011*BH12)*13.2*EXP(-2.845*(C51))+(1.0054+0.0041*R12)*M51),"")</f>
        <v>24.84018379585217</v>
      </c>
      <c r="BW51" s="114">
        <f t="shared" ref="BW51:BW62" si="85">IF(AND(ISNUMBER(C51),ISNUMBER(BV51)),((0.852+0.0012*R12)*1000)/(0.3774+BV51/100),"")</f>
        <v>1394.0515145272277</v>
      </c>
      <c r="BX51" s="184">
        <f>IF(ISNUMBER(BW51),((BV51-BU51)/100*BW51)/1000*10,"")</f>
        <v>1.2318664176266589</v>
      </c>
      <c r="BY51" s="161"/>
      <c r="BZ51" s="161"/>
      <c r="CA51" s="161"/>
      <c r="CB51" s="161"/>
      <c r="CC51" s="161"/>
      <c r="CD51" s="161">
        <f>IF(ISNUMBER(C51),C51*100-120,"")</f>
        <v>-110</v>
      </c>
      <c r="CE51" s="161">
        <f>IF(ISNUMBER(C51),C51*100-100,"")</f>
        <v>-90</v>
      </c>
      <c r="CF51" s="161">
        <f>-0.0176+0.022*(C51/100)</f>
        <v>-1.7578E-2</v>
      </c>
      <c r="CG51" s="161"/>
      <c r="CH51" s="1179">
        <f t="shared" ref="CH51:CH62" si="86">IF(ISNUMBER(S12),(1.34+0.15*S12),"")</f>
        <v>2.54</v>
      </c>
      <c r="CI51" s="1179"/>
      <c r="CJ51" s="1179">
        <f t="shared" ref="CJ51:CJ62" si="87">IF(ISNUMBER(Y12),(-1.37+0.42*(Y12)),"")</f>
        <v>4.3839999999999995</v>
      </c>
      <c r="CK51" s="1179"/>
      <c r="CL51" s="1179">
        <f t="shared" ref="CL51:CL62" si="88">IF(ISNUMBER(R12),(0.59+0.016*(R12^1.5)),"")</f>
        <v>1.7114847301680043</v>
      </c>
      <c r="CM51" s="1179"/>
    </row>
    <row r="52" spans="2:91">
      <c r="B52" s="247">
        <v>2</v>
      </c>
      <c r="C52" s="1025">
        <f t="shared" ref="C52:C62" si="89">Q13</f>
        <v>0.2</v>
      </c>
      <c r="D52" s="1178"/>
      <c r="E52" s="1029" t="str">
        <f t="shared" si="61"/>
        <v/>
      </c>
      <c r="F52" s="1025"/>
      <c r="G52" s="1170">
        <f t="shared" si="62"/>
        <v>2.54</v>
      </c>
      <c r="H52" s="1170"/>
      <c r="I52" s="1170">
        <f t="shared" si="63"/>
        <v>4.6779999999999999</v>
      </c>
      <c r="J52" s="1170"/>
      <c r="K52" s="1170">
        <f t="shared" si="64"/>
        <v>1.7114847301680043</v>
      </c>
      <c r="L52" s="1171"/>
      <c r="M52" s="1175">
        <f t="shared" si="65"/>
        <v>14.4</v>
      </c>
      <c r="N52" s="1026"/>
      <c r="O52" s="1176" t="str">
        <f t="shared" si="66"/>
        <v/>
      </c>
      <c r="P52" s="1170"/>
      <c r="Q52" s="1170">
        <f t="shared" si="67"/>
        <v>41.45</v>
      </c>
      <c r="R52" s="1171"/>
      <c r="S52" s="1176" t="str">
        <f t="shared" si="68"/>
        <v/>
      </c>
      <c r="T52" s="1170"/>
      <c r="U52" s="1170">
        <f t="shared" si="69"/>
        <v>15.62</v>
      </c>
      <c r="V52" s="1170"/>
      <c r="W52" s="1170">
        <f t="shared" si="70"/>
        <v>23.192</v>
      </c>
      <c r="X52" s="1170"/>
      <c r="Y52" s="1170">
        <f t="shared" si="71"/>
        <v>12.737760999999999</v>
      </c>
      <c r="Z52" s="1170"/>
      <c r="AA52" s="1170">
        <f t="shared" ref="AA52:AA62" si="90">IF(ISNUMBER(C52),AVERAGE(S52:Z52),"")</f>
        <v>17.183253666666666</v>
      </c>
      <c r="AB52" s="1171"/>
      <c r="AC52" s="1029">
        <f t="shared" si="72"/>
        <v>14.4</v>
      </c>
      <c r="AD52" s="1026"/>
      <c r="AE52" s="1180">
        <f t="shared" si="73"/>
        <v>1588.3982498463417</v>
      </c>
      <c r="AF52" s="1181"/>
      <c r="AG52" s="1177">
        <f t="shared" si="74"/>
        <v>4.4209152530117404</v>
      </c>
      <c r="AH52" s="1171"/>
      <c r="AI52" s="420">
        <f t="shared" ref="AI52:AI62" si="91">IF(ISNUMBER($C52),IF(AND(ISNUMBER(BQ52),$B52&lt;=$CE$63),BQ52,""),"")</f>
        <v>13.157760000000005</v>
      </c>
      <c r="AJ52" s="418">
        <f t="shared" si="75"/>
        <v>26.229600000000001</v>
      </c>
      <c r="AK52" s="92">
        <f t="shared" si="75"/>
        <v>1363.7727920762361</v>
      </c>
      <c r="AL52" s="630">
        <f t="shared" si="76"/>
        <v>17.827019734373827</v>
      </c>
      <c r="AM52" s="655">
        <f t="shared" si="77"/>
        <v>16.388856000000001</v>
      </c>
      <c r="AN52" s="653">
        <f t="shared" ref="AN52:AN57" si="92">IF(ISNUMBER($C52),IF(AND(ISNUMBER(BV52),$B52&lt;=$CD$45),BV52,""),"")</f>
        <v>23.080875336162819</v>
      </c>
      <c r="AO52" s="92">
        <f t="shared" ref="AO52:AO57" si="93">IF(ISNUMBER($C52),IF(AND(ISNUMBER(BW52),$B52&lt;=$CD$45),BW52,""),"")</f>
        <v>1434.3759361866485</v>
      </c>
      <c r="AP52" s="654">
        <f t="shared" ref="AP52:AP57" si="94">IF(ISNUMBER($C52),IF(AND(ISNUMBER(BX52),$B52&lt;=$CD$45),IF($X$7="cm",BX52,IF($X$7="mm",BX52*10,"")),""),"")</f>
        <v>9.5988715002876983</v>
      </c>
      <c r="AQ52" s="625">
        <v>0.2</v>
      </c>
      <c r="AR52" s="629">
        <f t="shared" ref="AR52:AR60" si="95">IF(AND(ISNUMBER(BN52),$X$7="cm"),BN52,IF(AND(ISNUMBER(BN52),$X$7="mm"),BN52*10,""))</f>
        <v>9.5245076695269262</v>
      </c>
      <c r="AS52" s="629">
        <f t="shared" si="78"/>
        <v>38.241811962550052</v>
      </c>
      <c r="AT52" s="630">
        <f t="shared" si="79"/>
        <v>21.917535676554287</v>
      </c>
      <c r="AU52" s="111"/>
      <c r="AV52" s="338"/>
      <c r="AW52" s="91">
        <v>20</v>
      </c>
      <c r="AX52" s="160">
        <f t="shared" ref="AX52:AX66" si="96">C52*100</f>
        <v>20</v>
      </c>
      <c r="AY52" s="160">
        <f t="shared" ref="AY52:AY64" si="97">VLOOKUP(AW52,BA$51:BB$62,2,FALSE)</f>
        <v>0.44209152530117407</v>
      </c>
      <c r="AZ52" s="59">
        <f>IF(AND(ISNUMBER(C52),ISNUMBER(C51)),C52*100-C51*100,AZ51)</f>
        <v>10</v>
      </c>
      <c r="BA52" s="91">
        <f t="shared" ref="BA52:BA64" si="98">ROUND(C52*10,0)*10</f>
        <v>20</v>
      </c>
      <c r="BB52" s="85">
        <f t="shared" ref="BB52:BB67" si="99">IF(AND(ISNUMBER(C52),ISNUMBER(M52)),(((AA52/100)-(AC52/100))*(AE52/1000*10)),"")</f>
        <v>0.44209152530117407</v>
      </c>
      <c r="BC52" s="59">
        <f t="shared" ref="BC52:BC58" si="100">IF(ISNUMBER(AY52),AY52,"")</f>
        <v>0.44209152530117407</v>
      </c>
      <c r="BD52" s="678">
        <f>IF(AND(ISNUMBER(BD51),SUM(BC52:BC58)=0,$AW52=100),BD51-BD50+BD51,IF(ISNUMBER(BC52),BC52,IF(AND(ISTEXT(BC52),$AZ52&gt;=10,$AZ52&lt;30),AVERAGE(BC51,BC53),IF(AND($AZ52=30,ISTEXT(BC52),ISNUMBER(BC51),ISNUMBER(BC53)),AVERAGE(BC51,BC53),IF(AND($AZ52=30,ISTEXT(BC52),ISTEXT(BC53)),((BC54-BC51)/3)+BC51,IF(AND($AZ52=30,ISTEXT(BC52),ISTEXT(BC51)),((BC53-BC50)/3)*2+BC50,IF(AND(ISTEXT(BC52),$AZ52&gt;30,$AZ52&lt;40),((BC53-BD51)/2)+BD51,IF(AND(ISTEXT(BC52),ISTEXT(BC53),$AZ52&gt;30),(AVERAGE(BC54:BC58)-BD51)/2+BD51,IF(AND(ISTEXT(BC52),ISTEXT(BC51),$AZ52&gt;=40),ABS(BD51-BC53)/2+MIN(BD51,BC53),"")))))))))</f>
        <v>0.44209152530117407</v>
      </c>
      <c r="BE52" s="160">
        <f t="shared" ref="BE52:BE64" si="101">VLOOKUP(AW52,BA$51:BF$62,6,FALSE)</f>
        <v>1.7827019734373826</v>
      </c>
      <c r="BF52" s="67">
        <f t="shared" si="80"/>
        <v>1.7827019734373826</v>
      </c>
      <c r="BG52" s="59">
        <f t="shared" ref="BG52:BG62" si="102">IF(ISNUMBER(BE52),BE52,"")</f>
        <v>1.7827019734373826</v>
      </c>
      <c r="BH52" s="678">
        <f>IF(AND(ISNUMBER(BH51),SUM(BG52:BG58)=0,$AW52=100),BH51-BH50+BH51,IF(ISNUMBER(BG52),BG52,IF(AND(ISTEXT(BG52),$AZ52&gt;=10,$AZ52&lt;30),AVERAGE(BG51,BG53),IF(AND($AZ52=30,ISTEXT(BG52),ISNUMBER(BG51),ISNUMBER(BG53)),AVERAGE(BG51,BG53),IF(AND($AZ52=30,ISTEXT(BG52),ISTEXT(BG53)),((BG54-BG51)/3)+BG51,IF(AND($AZ52=30,ISTEXT(BG52),ISTEXT(BG51)),((BG53-BG50)/3)*2+BG50,IF(AND(ISTEXT(BG52),$AZ52&gt;30,$AZ52&lt;40),((BG53-BH51)/2)+BH51,IF(AND(ISTEXT(BG52),ISTEXT(BG53),$AZ52&gt;30),(AVERAGE(BG54:BG58)-BH51)/2+BH51,IF(AND(ISTEXT(BG52),ISTEXT(BG51),$AZ52&gt;=40),ABS(BH51-BG53)/2+MIN(BH51,BG53),"")))))))))</f>
        <v>1.7827019734373826</v>
      </c>
      <c r="BI52" s="160">
        <f t="shared" ref="BI52:BI64" si="103">VLOOKUP(AW52,BA$51:BJ$67,10,FALSE)</f>
        <v>0.95988715002876979</v>
      </c>
      <c r="BJ52" s="67">
        <f t="shared" si="81"/>
        <v>0.95988715002876979</v>
      </c>
      <c r="BK52" s="59">
        <f t="shared" ref="BK52:BK62" si="104">IF(ISNUMBER(BI52),BI52,"")</f>
        <v>0.95988715002876979</v>
      </c>
      <c r="BL52" s="678">
        <f>IF(AND(ISNUMBER(BL51),SUM(BK52:BK58)=0,$AW52=100),BL51-BL50+BL51,IF(ISNUMBER(BK52),BK52,IF(AND(ISTEXT(BK52),$AZ52&gt;=10,$AZ52&lt;30),AVERAGE(BK51,BK53),IF(AND($AZ52=30,ISTEXT(BK52),ISNUMBER(BK51),ISNUMBER(BK53)),AVERAGE(BK51,BK53),IF(AND($AZ52=30,ISTEXT(BK52),ISTEXT(BK53)),((BK54-BK51)/3)+BK51,IF(AND($AZ52=30,ISTEXT(BK52),ISTEXT(BK51)),((BK53-BK50)/3)*2+BK50,IF(AND(ISTEXT(BK52),$AZ52&gt;30,$AZ52&lt;40),((BK53-BL51)/2)+BL51,IF(AND(ISTEXT(BK52),ISTEXT(BK53),$AZ52&gt;30),(AVERAGE(BK54:BK58)-BL51)/2+BL51,IF(AND(ISTEXT(BK52),ISTEXT(BK51),$AZ52&gt;=40),ABS(BL51-BK53)/2+MIN(BL51,BK53),"")))))))))</f>
        <v>0.95988715002876979</v>
      </c>
      <c r="BN52" s="85">
        <f>BN51+BD52</f>
        <v>0.95245076695269271</v>
      </c>
      <c r="BO52" s="59">
        <f>BO51+BH52</f>
        <v>3.8241811962550054</v>
      </c>
      <c r="BP52" s="59">
        <f>BP51+BL52</f>
        <v>2.1917535676554287</v>
      </c>
      <c r="BQ52" s="184">
        <f t="shared" ref="BQ52:BQ62" si="105">IF(AND(ISNUMBER(C52),ISNUMBER(M52)),(-0.0176+0.022*(C52)+1.0054*(M52/100))*100,"")</f>
        <v>13.157760000000005</v>
      </c>
      <c r="BR52" s="184">
        <f t="shared" ref="BR52:BR62" si="106">IF(AND(ISNUMBER(C52),ISNUMBER(M52)),(0.124-0.265*(C52)+0.16*((C52)^2)+1.284*(M52/100))*100,"")</f>
        <v>26.229600000000001</v>
      </c>
      <c r="BS52" s="114">
        <f t="shared" si="82"/>
        <v>1363.7727920762361</v>
      </c>
      <c r="BT52" s="184">
        <f t="shared" ref="BT52:BT62" si="107">IF(ISNUMBER(BS52),(((BR52/100)-(BQ52/100))*(BS52/1000*10)),"")</f>
        <v>1.7827019734373826</v>
      </c>
      <c r="BU52" s="184">
        <f t="shared" si="83"/>
        <v>16.388856000000001</v>
      </c>
      <c r="BV52" s="184">
        <f t="shared" si="84"/>
        <v>23.080875336162819</v>
      </c>
      <c r="BW52" s="114">
        <f t="shared" si="85"/>
        <v>1434.3759361866485</v>
      </c>
      <c r="BX52" s="184">
        <f t="shared" ref="BX52:BX62" si="108">IF(ISNUMBER(BW52),((BV52-BU52)/100*BW52)/1000*10,"")</f>
        <v>0.95988715002876979</v>
      </c>
      <c r="BY52" s="161"/>
      <c r="BZ52" s="161"/>
      <c r="CA52" s="161"/>
      <c r="CB52" s="161"/>
      <c r="CC52" s="161"/>
      <c r="CD52" s="161">
        <f t="shared" ref="CD52:CD61" si="109">IF(ISNUMBER(C52),C52*100-120,"")</f>
        <v>-100</v>
      </c>
      <c r="CE52" s="161">
        <f t="shared" ref="CE52:CE62" si="110">IF(ISNUMBER(C52),C52*100-100,"")</f>
        <v>-80</v>
      </c>
      <c r="CF52" s="161">
        <f>CF51+1.0054*(M51/100)</f>
        <v>0.1201618</v>
      </c>
      <c r="CG52" s="161"/>
      <c r="CH52" s="1179">
        <f t="shared" si="86"/>
        <v>2.54</v>
      </c>
      <c r="CI52" s="1179"/>
      <c r="CJ52" s="1179">
        <f t="shared" si="87"/>
        <v>4.6779999999999999</v>
      </c>
      <c r="CK52" s="1179"/>
      <c r="CL52" s="1179">
        <f t="shared" si="88"/>
        <v>1.7114847301680043</v>
      </c>
      <c r="CM52" s="1179"/>
    </row>
    <row r="53" spans="2:91">
      <c r="B53" s="247">
        <v>3</v>
      </c>
      <c r="C53" s="1025">
        <f t="shared" si="89"/>
        <v>0.3</v>
      </c>
      <c r="D53" s="1178"/>
      <c r="E53" s="1029" t="str">
        <f t="shared" si="61"/>
        <v/>
      </c>
      <c r="F53" s="1025"/>
      <c r="G53" s="1170">
        <f t="shared" si="62"/>
        <v>2.54</v>
      </c>
      <c r="H53" s="1170"/>
      <c r="I53" s="1170">
        <f t="shared" si="63"/>
        <v>4.8879999999999999</v>
      </c>
      <c r="J53" s="1170"/>
      <c r="K53" s="1170">
        <f t="shared" si="64"/>
        <v>1.7114847301680043</v>
      </c>
      <c r="L53" s="1171"/>
      <c r="M53" s="1175">
        <f t="shared" si="65"/>
        <v>14.9</v>
      </c>
      <c r="N53" s="1026"/>
      <c r="O53" s="1176" t="str">
        <f t="shared" si="66"/>
        <v/>
      </c>
      <c r="P53" s="1170"/>
      <c r="Q53" s="1170">
        <f t="shared" si="67"/>
        <v>41.45</v>
      </c>
      <c r="R53" s="1171"/>
      <c r="S53" s="1176" t="str">
        <f t="shared" si="68"/>
        <v/>
      </c>
      <c r="T53" s="1170"/>
      <c r="U53" s="1170">
        <f t="shared" si="69"/>
        <v>15.62</v>
      </c>
      <c r="V53" s="1170"/>
      <c r="W53" s="1170">
        <f t="shared" si="70"/>
        <v>23.807000000000002</v>
      </c>
      <c r="X53" s="1170"/>
      <c r="Y53" s="1170">
        <f t="shared" si="71"/>
        <v>12.737760999999999</v>
      </c>
      <c r="Z53" s="1170"/>
      <c r="AA53" s="1170">
        <f t="shared" si="90"/>
        <v>17.388253666666667</v>
      </c>
      <c r="AB53" s="1171"/>
      <c r="AC53" s="1029">
        <f t="shared" si="72"/>
        <v>14.9</v>
      </c>
      <c r="AD53" s="1026"/>
      <c r="AE53" s="1180">
        <f t="shared" si="73"/>
        <v>1582.4916299271367</v>
      </c>
      <c r="AF53" s="1181"/>
      <c r="AG53" s="1177">
        <f t="shared" si="74"/>
        <v>3.9376406006355098</v>
      </c>
      <c r="AH53" s="1171"/>
      <c r="AI53" s="420">
        <f t="shared" si="91"/>
        <v>13.880459999999999</v>
      </c>
      <c r="AJ53" s="418">
        <f t="shared" si="75"/>
        <v>25.021599999999999</v>
      </c>
      <c r="AK53" s="92">
        <f t="shared" si="75"/>
        <v>1390.0219242339265</v>
      </c>
      <c r="AL53" s="630">
        <f t="shared" si="76"/>
        <v>15.486428860959567</v>
      </c>
      <c r="AM53" s="655">
        <f t="shared" si="77"/>
        <v>16.573040000000002</v>
      </c>
      <c r="AN53" s="653">
        <f t="shared" si="92"/>
        <v>21.730547472348281</v>
      </c>
      <c r="AO53" s="92">
        <f t="shared" si="93"/>
        <v>1466.944625666403</v>
      </c>
      <c r="AP53" s="654">
        <f t="shared" si="94"/>
        <v>7.5657778683956227</v>
      </c>
      <c r="AQ53" s="625">
        <v>0.3</v>
      </c>
      <c r="AR53" s="629">
        <f t="shared" si="95"/>
        <v>13.462148270162437</v>
      </c>
      <c r="AS53" s="629">
        <f t="shared" si="78"/>
        <v>53.728240823509623</v>
      </c>
      <c r="AT53" s="630">
        <f t="shared" si="79"/>
        <v>29.483313544949912</v>
      </c>
      <c r="AU53" s="111"/>
      <c r="AV53" s="338"/>
      <c r="AW53" s="91">
        <v>30</v>
      </c>
      <c r="AX53" s="160">
        <f t="shared" si="96"/>
        <v>30</v>
      </c>
      <c r="AY53" s="160">
        <f>VLOOKUP(AW53,BA$51:BB$62,2,FALSE)</f>
        <v>0.39376406006355097</v>
      </c>
      <c r="AZ53" s="160">
        <f t="shared" ref="AZ53:AZ65" si="111">IF(AND(ISNUMBER(C53),ISNUMBER(C52)),C53*100-C52*100,AZ52)</f>
        <v>10</v>
      </c>
      <c r="BA53" s="91">
        <f t="shared" si="98"/>
        <v>30</v>
      </c>
      <c r="BB53" s="85">
        <f t="shared" si="99"/>
        <v>0.39376406006355097</v>
      </c>
      <c r="BC53" s="59">
        <f t="shared" si="100"/>
        <v>0.39376406006355097</v>
      </c>
      <c r="BD53" s="678">
        <f>IF(AND(ISNUMBER(BD52),SUM(BC53:BC59)=0,$AW53=100),BD52-BD51+BD52,IF(ISNUMBER(BC53),BC53,IF(AND(ISTEXT(BC53),$AZ53&gt;=10,$AZ53&lt;30),AVERAGE(BC52,BC54),IF(AND($AZ53=30,ISTEXT(BC53),ISNUMBER(BC52),ISNUMBER(BC54)),AVERAGE(BC52,BC54),IF(AND($AZ53=30,ISTEXT(BC53),ISTEXT(BC54)),((BC55-BC52)/3)+BC52,IF(AND($AZ53=30,ISTEXT(BC53),ISTEXT(BC52)),((BC54-BC51)/3)*2+BC51,IF(AND(ISTEXT(BC53),$AZ53&gt;30,$AZ53&lt;40),((BC54-BD52)/2)+BD52,IF(AND(ISTEXT(BC53),ISTEXT(BC54),$AZ53&gt;30),(AVERAGE(BC55:BC59)-BD52)/2+BD52,IF(AND(ISTEXT(BC53),ISTEXT(BC52),$AZ53&gt;=40),ABS(BD52-BC54)/2+MIN(BD52,BC54),"")))))))))</f>
        <v>0.39376406006355097</v>
      </c>
      <c r="BE53" s="160">
        <f t="shared" si="101"/>
        <v>1.5486428860959567</v>
      </c>
      <c r="BF53" s="67">
        <f t="shared" si="80"/>
        <v>1.5486428860959567</v>
      </c>
      <c r="BG53" s="59">
        <f t="shared" si="102"/>
        <v>1.5486428860959567</v>
      </c>
      <c r="BH53" s="678">
        <f>IF(AND(ISNUMBER(BH52),SUM(BG53:BG59)=0,$AW53=100),BH52-BH51+BH52,IF(ISNUMBER(BG53),BG53,IF(AND(ISTEXT(BG53),$AZ53&gt;=10,$AZ53&lt;30),AVERAGE(BG52,BG54),IF(AND($AZ53=30,ISTEXT(BG53),ISNUMBER(BG52),ISNUMBER(BG54)),AVERAGE(BG52,BG54),IF(AND($AZ53=30,ISTEXT(BG53),ISTEXT(BG54)),((BG55-BG52)/3)+BG52,IF(AND($AZ53=30,ISTEXT(BG53),ISTEXT(BG52)),((BG54-BG51)/3)*2+BG51,IF(AND(ISTEXT(BG53),$AZ53&gt;30,$AZ53&lt;40),((BG54-BH52)/2)+BH52,IF(AND(ISTEXT(BG53),ISTEXT(BG54),$AZ53&gt;30),(AVERAGE(BG55:BG59)-BH52)/2+BH52,IF(AND(ISTEXT(BG53),ISTEXT(BG52),$AZ53&gt;=40),ABS(BH52-BG54)/2+MIN(BH52,BG54),"")))))))))</f>
        <v>1.5486428860959567</v>
      </c>
      <c r="BI53" s="160">
        <f t="shared" si="103"/>
        <v>0.75657778683956223</v>
      </c>
      <c r="BJ53" s="67">
        <f t="shared" si="81"/>
        <v>0.75657778683956223</v>
      </c>
      <c r="BK53" s="59">
        <f t="shared" si="104"/>
        <v>0.75657778683956223</v>
      </c>
      <c r="BL53" s="678">
        <f>IF(AND(ISNUMBER(BL52),SUM(BK53:BK59)=0,$AW53=100),BL52-BL51+BL52,IF(ISNUMBER(BK53),BK53,IF(AND(ISTEXT(BK53),$AZ53&gt;=10,$AZ53&lt;30),AVERAGE(BK52,BK54),IF(AND($AZ53=30,ISTEXT(BK53),ISNUMBER(BK52),ISNUMBER(BK54)),AVERAGE(BK52,BK54),IF(AND($AZ53=30,ISTEXT(BK53),ISTEXT(BK54)),((BK55-BK52)/3)+BK52,IF(AND($AZ53=30,ISTEXT(BK53),ISTEXT(BK52)),((BK54-BK51)/3)*2+BK51,IF(AND(ISTEXT(BK53),$AZ53&gt;30,$AZ53&lt;40),((BK54-BL52)/2)+BL52,IF(AND(ISTEXT(BK53),ISTEXT(BK54),$AZ53&gt;30),(AVERAGE(BK55:BK59)-BL52)/2+BL52,IF(AND(ISTEXT(BK53),ISTEXT(BK52),$AZ53&gt;=40),ABS(BL52-BK54)/2+MIN(BL52,BK54),"")))))))))</f>
        <v>0.75657778683956223</v>
      </c>
      <c r="BN53" s="85">
        <f t="shared" ref="BN53:BN62" si="112">BN52+BD53</f>
        <v>1.3462148270162437</v>
      </c>
      <c r="BO53" s="59">
        <f t="shared" ref="BO53:BO62" si="113">BO52+BH53</f>
        <v>5.3728240823509621</v>
      </c>
      <c r="BP53" s="59">
        <f t="shared" ref="BP53:BP62" si="114">BP52+BL53</f>
        <v>2.9483313544949912</v>
      </c>
      <c r="BQ53" s="184">
        <f t="shared" si="105"/>
        <v>13.880459999999999</v>
      </c>
      <c r="BR53" s="184">
        <f t="shared" si="106"/>
        <v>25.021599999999999</v>
      </c>
      <c r="BS53" s="114">
        <f t="shared" si="82"/>
        <v>1390.0219242339265</v>
      </c>
      <c r="BT53" s="184">
        <f t="shared" si="107"/>
        <v>1.5486428860959567</v>
      </c>
      <c r="BU53" s="184">
        <f t="shared" si="83"/>
        <v>16.573040000000002</v>
      </c>
      <c r="BV53" s="184">
        <f t="shared" si="84"/>
        <v>21.730547472348281</v>
      </c>
      <c r="BW53" s="114">
        <f t="shared" si="85"/>
        <v>1466.944625666403</v>
      </c>
      <c r="BX53" s="184">
        <f t="shared" si="108"/>
        <v>0.75657778683956223</v>
      </c>
      <c r="BY53" s="161"/>
      <c r="BZ53" s="161"/>
      <c r="CA53" s="161"/>
      <c r="CB53" s="161"/>
      <c r="CC53" s="161"/>
      <c r="CD53" s="161">
        <f t="shared" si="109"/>
        <v>-90</v>
      </c>
      <c r="CE53" s="161">
        <f t="shared" si="110"/>
        <v>-70</v>
      </c>
      <c r="CF53" s="161"/>
      <c r="CG53" s="161"/>
      <c r="CH53" s="1179">
        <f t="shared" si="86"/>
        <v>2.54</v>
      </c>
      <c r="CI53" s="1179"/>
      <c r="CJ53" s="1179">
        <f t="shared" si="87"/>
        <v>4.8879999999999999</v>
      </c>
      <c r="CK53" s="1179"/>
      <c r="CL53" s="1179">
        <f t="shared" si="88"/>
        <v>1.7114847301680043</v>
      </c>
      <c r="CM53" s="1179"/>
    </row>
    <row r="54" spans="2:91">
      <c r="B54" s="247">
        <v>4</v>
      </c>
      <c r="C54" s="1025">
        <f t="shared" si="89"/>
        <v>0.6</v>
      </c>
      <c r="D54" s="1178"/>
      <c r="E54" s="1029" t="str">
        <f t="shared" si="61"/>
        <v/>
      </c>
      <c r="F54" s="1025"/>
      <c r="G54" s="1170">
        <f t="shared" si="62"/>
        <v>2.54</v>
      </c>
      <c r="H54" s="1170"/>
      <c r="I54" s="1170">
        <f t="shared" si="63"/>
        <v>4.3419999999999996</v>
      </c>
      <c r="J54" s="1170"/>
      <c r="K54" s="1170">
        <f t="shared" si="64"/>
        <v>1.7114847301680043</v>
      </c>
      <c r="L54" s="1171"/>
      <c r="M54" s="1175">
        <f t="shared" si="65"/>
        <v>13.6</v>
      </c>
      <c r="N54" s="1026"/>
      <c r="O54" s="1176" t="str">
        <f t="shared" si="66"/>
        <v/>
      </c>
      <c r="P54" s="1170"/>
      <c r="Q54" s="1170">
        <f t="shared" si="67"/>
        <v>41.45</v>
      </c>
      <c r="R54" s="1171"/>
      <c r="S54" s="1176" t="str">
        <f t="shared" si="68"/>
        <v/>
      </c>
      <c r="T54" s="1170"/>
      <c r="U54" s="1170">
        <f t="shared" si="69"/>
        <v>15.62</v>
      </c>
      <c r="V54" s="1170"/>
      <c r="W54" s="1170">
        <f t="shared" si="70"/>
        <v>22.207999999999998</v>
      </c>
      <c r="X54" s="1170"/>
      <c r="Y54" s="1170">
        <f t="shared" si="71"/>
        <v>12.737760999999999</v>
      </c>
      <c r="Z54" s="1170"/>
      <c r="AA54" s="1170">
        <f t="shared" si="90"/>
        <v>16.855253666666666</v>
      </c>
      <c r="AB54" s="1171"/>
      <c r="AC54" s="1029">
        <f t="shared" si="72"/>
        <v>13.6</v>
      </c>
      <c r="AD54" s="1026"/>
      <c r="AE54" s="1180">
        <f t="shared" si="73"/>
        <v>1597.9411055152711</v>
      </c>
      <c r="AF54" s="1181"/>
      <c r="AG54" s="1177">
        <f t="shared" si="74"/>
        <v>5.2017036428459731</v>
      </c>
      <c r="AH54" s="1171"/>
      <c r="AI54" s="420">
        <f t="shared" si="91"/>
        <v>13.23344</v>
      </c>
      <c r="AJ54" s="418">
        <f t="shared" si="75"/>
        <v>19.7224</v>
      </c>
      <c r="AK54" s="92">
        <f t="shared" si="75"/>
        <v>1518.2101687364259</v>
      </c>
      <c r="AL54" s="630">
        <f t="shared" si="76"/>
        <v>9.851605056523919</v>
      </c>
      <c r="AM54" s="655">
        <f t="shared" si="77"/>
        <v>14.310472000000003</v>
      </c>
      <c r="AN54" s="653">
        <f t="shared" si="92"/>
        <v>17.054035665996821</v>
      </c>
      <c r="AO54" s="92">
        <f t="shared" si="93"/>
        <v>1592.144089035186</v>
      </c>
      <c r="AP54" s="654">
        <f t="shared" si="94"/>
        <v>4.3681486737085393</v>
      </c>
      <c r="AQ54" s="625">
        <v>0.4</v>
      </c>
      <c r="AR54" s="629">
        <f t="shared" si="95"/>
        <v>17.821143218201435</v>
      </c>
      <c r="AS54" s="629">
        <f t="shared" si="78"/>
        <v>67.336395082990634</v>
      </c>
      <c r="AT54" s="630">
        <f t="shared" si="79"/>
        <v>35.983215015116507</v>
      </c>
      <c r="AU54" s="111"/>
      <c r="AV54" s="338"/>
      <c r="AW54" s="91">
        <v>40</v>
      </c>
      <c r="AX54" s="160">
        <f t="shared" si="96"/>
        <v>60</v>
      </c>
      <c r="AY54" s="160" t="e">
        <f t="shared" si="97"/>
        <v>#N/A</v>
      </c>
      <c r="AZ54" s="160">
        <f t="shared" si="111"/>
        <v>30</v>
      </c>
      <c r="BA54" s="91">
        <f t="shared" si="98"/>
        <v>60</v>
      </c>
      <c r="BB54" s="85">
        <f t="shared" si="99"/>
        <v>0.52017036428459729</v>
      </c>
      <c r="BC54" s="59" t="str">
        <f t="shared" si="100"/>
        <v/>
      </c>
      <c r="BD54" s="678">
        <f>IF(AND(ISNUMBER(BD53),SUM(BC54:BC60)=0,$AW54=100),BD53-BD52+BD53,IF(ISNUMBER(BC54),BC54,IF(AND(ISTEXT(BC54),$AZ54&gt;=10,$AZ54&lt;30),AVERAGE(BC53,BC55),IF(AND($AZ54=30,ISTEXT(BC54),ISNUMBER(BC53),ISNUMBER(BC55)),AVERAGE(BC53,BC55),IF(AND($AZ54=30,ISTEXT(BC54),ISTEXT(BC55)),((BC56-BC53)/3)+BC53,IF(AND($AZ54=30,ISTEXT(BC54),ISTEXT(BC53)),((BC55-BC52)/3)*2+BC52,IF(AND(ISTEXT(BC54),$AZ54&gt;30,$AZ54&lt;40),((BC55-BD53)/2)+BD53,IF(AND(ISTEXT(BC54),ISTEXT(BC55),$AZ54&gt;30),(AVERAGE(BC56:BC60)-BD53)/2+BD53,IF(AND(ISTEXT(BC54),ISTEXT(BC53),$AZ54&gt;=40),ABS(BD53-BC55)/2+MIN(BD53,BC55),"")))))))))</f>
        <v>0.43589949480389972</v>
      </c>
      <c r="BE54" s="160" t="e">
        <f t="shared" si="101"/>
        <v>#N/A</v>
      </c>
      <c r="BF54" s="67">
        <f t="shared" si="80"/>
        <v>0.98516050565239199</v>
      </c>
      <c r="BG54" s="59" t="str">
        <f t="shared" si="102"/>
        <v/>
      </c>
      <c r="BH54" s="678">
        <f>IF(AND(ISNUMBER(BH53),SUM(BG54:BG60)=0,$AW54=100),BH53-BH52+BH53,IF(ISNUMBER(BG54),BG54,IF(AND(ISTEXT(BG54),$AZ54&gt;=10,$AZ54&lt;30),AVERAGE(BG53,BG55),IF(AND($AZ54=30,ISTEXT(BG54),ISNUMBER(BG53),ISNUMBER(BG55)),AVERAGE(BG53,BG55),IF(AND($AZ54=30,ISTEXT(BG54),ISTEXT(BG55)),((BG56-BG53)/3)+BG53,IF(AND($AZ54=30,ISTEXT(BG54),ISTEXT(BG53)),((BG55-BG52)/3)*2+BG52,IF(AND(ISTEXT(BG54),$AZ54&gt;30,$AZ54&lt;40),((BG55-BH53)/2)+BH53,IF(AND(ISTEXT(BG54),ISTEXT(BG55),$AZ54&gt;30),(AVERAGE(BG56:BG60)-BH53)/2+BH53,IF(AND(ISTEXT(BG54),ISTEXT(BG53),$AZ54&gt;=40),ABS(BH53-BG55)/2+MIN(BH53,BG55),"")))))))))</f>
        <v>1.3608154259481018</v>
      </c>
      <c r="BI54" s="160" t="e">
        <f t="shared" si="103"/>
        <v>#N/A</v>
      </c>
      <c r="BJ54" s="67">
        <f t="shared" si="81"/>
        <v>0.43681486737085395</v>
      </c>
      <c r="BK54" s="59" t="str">
        <f t="shared" si="104"/>
        <v/>
      </c>
      <c r="BL54" s="678">
        <f>IF(AND(ISNUMBER(BL53),SUM(BK54:BK60)=0,$AW54=100),BL53-BL52+BL53,IF(ISNUMBER(BK54),BK54,IF(AND(ISTEXT(BK54),$AZ54&gt;=10,$AZ54&lt;30),AVERAGE(BK53,BK55),IF(AND($AZ54=30,ISTEXT(BK54),ISNUMBER(BK53),ISNUMBER(BK55)),AVERAGE(BK53,BK55),IF(AND($AZ54=30,ISTEXT(BK54),ISTEXT(BK55)),((BK56-BK53)/3)+BK53,IF(AND($AZ54=30,ISTEXT(BK54),ISTEXT(BK53)),((BK55-BK52)/3)*2+BK52,IF(AND(ISTEXT(BK54),$AZ54&gt;30,$AZ54&lt;40),((BK55-BL53)/2)+BL53,IF(AND(ISTEXT(BK54),ISTEXT(BK55),$AZ54&gt;30),(AVERAGE(BK56:BK60)-BL53)/2+BL53,IF(AND(ISTEXT(BK54),ISTEXT(BK53),$AZ54&gt;=40),ABS(BL53-BK55)/2+MIN(BL53,BK55),"")))))))))</f>
        <v>0.64999014701665947</v>
      </c>
      <c r="BN54" s="85">
        <f t="shared" si="112"/>
        <v>1.7821143218201434</v>
      </c>
      <c r="BO54" s="59">
        <f t="shared" si="113"/>
        <v>6.7336395082990634</v>
      </c>
      <c r="BP54" s="59">
        <f t="shared" si="114"/>
        <v>3.5983215015116508</v>
      </c>
      <c r="BQ54" s="184">
        <f t="shared" si="105"/>
        <v>13.23344</v>
      </c>
      <c r="BR54" s="184">
        <f t="shared" si="106"/>
        <v>19.7224</v>
      </c>
      <c r="BS54" s="114">
        <f t="shared" si="82"/>
        <v>1518.2101687364259</v>
      </c>
      <c r="BT54" s="184">
        <f t="shared" si="107"/>
        <v>0.98516050565239199</v>
      </c>
      <c r="BU54" s="184">
        <f t="shared" si="83"/>
        <v>14.310472000000003</v>
      </c>
      <c r="BV54" s="184">
        <f t="shared" si="84"/>
        <v>17.054035665996821</v>
      </c>
      <c r="BW54" s="114">
        <f t="shared" si="85"/>
        <v>1592.144089035186</v>
      </c>
      <c r="BX54" s="184">
        <f t="shared" si="108"/>
        <v>0.43681486737085395</v>
      </c>
      <c r="BY54" s="161"/>
      <c r="BZ54" s="161"/>
      <c r="CA54" s="161"/>
      <c r="CB54" s="161"/>
      <c r="CC54" s="161"/>
      <c r="CD54" s="161">
        <f t="shared" si="109"/>
        <v>-60</v>
      </c>
      <c r="CE54" s="161">
        <f t="shared" si="110"/>
        <v>-40</v>
      </c>
      <c r="CF54" s="161"/>
      <c r="CG54" s="161"/>
      <c r="CH54" s="1179">
        <f t="shared" si="86"/>
        <v>2.54</v>
      </c>
      <c r="CI54" s="1179"/>
      <c r="CJ54" s="1179">
        <f t="shared" si="87"/>
        <v>4.3419999999999996</v>
      </c>
      <c r="CK54" s="1179"/>
      <c r="CL54" s="1179">
        <f t="shared" si="88"/>
        <v>1.7114847301680043</v>
      </c>
      <c r="CM54" s="1179"/>
    </row>
    <row r="55" spans="2:91">
      <c r="B55" s="247">
        <v>5</v>
      </c>
      <c r="C55" s="1025">
        <f t="shared" si="89"/>
        <v>0.9</v>
      </c>
      <c r="D55" s="1178"/>
      <c r="E55" s="1029" t="str">
        <f t="shared" si="61"/>
        <v/>
      </c>
      <c r="F55" s="1025"/>
      <c r="G55" s="1170">
        <f t="shared" si="62"/>
        <v>2.54</v>
      </c>
      <c r="H55" s="1170"/>
      <c r="I55" s="1170">
        <f t="shared" si="63"/>
        <v>4.1739999999999995</v>
      </c>
      <c r="J55" s="1170"/>
      <c r="K55" s="1170">
        <f t="shared" si="64"/>
        <v>1.7114847301680043</v>
      </c>
      <c r="L55" s="1171"/>
      <c r="M55" s="1175">
        <f t="shared" si="65"/>
        <v>13.2</v>
      </c>
      <c r="N55" s="1026"/>
      <c r="O55" s="1176" t="str">
        <f t="shared" si="66"/>
        <v/>
      </c>
      <c r="P55" s="1170"/>
      <c r="Q55" s="1170">
        <f t="shared" si="67"/>
        <v>41.45</v>
      </c>
      <c r="R55" s="1171"/>
      <c r="S55" s="1176" t="str">
        <f t="shared" si="68"/>
        <v/>
      </c>
      <c r="T55" s="1170"/>
      <c r="U55" s="1170">
        <f t="shared" si="69"/>
        <v>15.62</v>
      </c>
      <c r="V55" s="1170"/>
      <c r="W55" s="1170">
        <f t="shared" si="70"/>
        <v>21.716000000000001</v>
      </c>
      <c r="X55" s="1170"/>
      <c r="Y55" s="1170">
        <f t="shared" si="71"/>
        <v>12.737760999999999</v>
      </c>
      <c r="Z55" s="1170"/>
      <c r="AA55" s="1170">
        <f t="shared" si="90"/>
        <v>16.691253666666665</v>
      </c>
      <c r="AB55" s="1171"/>
      <c r="AC55" s="1029">
        <f t="shared" si="72"/>
        <v>13.2</v>
      </c>
      <c r="AD55" s="1026"/>
      <c r="AE55" s="1180">
        <f t="shared" si="73"/>
        <v>1602.755661926361</v>
      </c>
      <c r="AF55" s="1181"/>
      <c r="AG55" s="1177">
        <f t="shared" si="74"/>
        <v>5.5956265814711621</v>
      </c>
      <c r="AH55" s="1171"/>
      <c r="AI55" s="420">
        <f t="shared" si="91"/>
        <v>13.491280000000003</v>
      </c>
      <c r="AJ55" s="418">
        <f t="shared" si="75"/>
        <v>18.4588</v>
      </c>
      <c r="AK55" s="92">
        <f t="shared" si="75"/>
        <v>1552.346313444415</v>
      </c>
      <c r="AL55" s="630">
        <f t="shared" si="76"/>
        <v>7.7113113589613969</v>
      </c>
      <c r="AM55" s="655">
        <f t="shared" si="77"/>
        <v>12.952764000000002</v>
      </c>
      <c r="AN55" s="653">
        <f t="shared" si="92"/>
        <v>15.22632719494962</v>
      </c>
      <c r="AO55" s="92">
        <f t="shared" si="93"/>
        <v>1647.0841876368272</v>
      </c>
      <c r="AP55" s="654">
        <f t="shared" si="94"/>
        <v>3.7447499879945823</v>
      </c>
      <c r="AQ55" s="625">
        <v>0.5</v>
      </c>
      <c r="AR55" s="629">
        <f t="shared" si="95"/>
        <v>22.601492513643919</v>
      </c>
      <c r="AS55" s="629">
        <f t="shared" si="78"/>
        <v>79.066274740993109</v>
      </c>
      <c r="AT55" s="630">
        <f t="shared" si="79"/>
        <v>41.417240087054083</v>
      </c>
      <c r="AU55" s="111"/>
      <c r="AV55" s="338"/>
      <c r="AW55" s="91">
        <v>50</v>
      </c>
      <c r="AX55" s="160">
        <f t="shared" si="96"/>
        <v>90</v>
      </c>
      <c r="AY55" s="160" t="e">
        <f t="shared" si="97"/>
        <v>#N/A</v>
      </c>
      <c r="AZ55" s="160">
        <f t="shared" si="111"/>
        <v>30</v>
      </c>
      <c r="BA55" s="91">
        <f t="shared" si="98"/>
        <v>90</v>
      </c>
      <c r="BB55" s="85">
        <f t="shared" si="99"/>
        <v>0.55956265814711625</v>
      </c>
      <c r="BC55" s="59" t="str">
        <f t="shared" si="100"/>
        <v/>
      </c>
      <c r="BD55" s="635">
        <f>IF(AND(ISNUMBER(BD54),SUM(BC55:BC61)=0,$AW55=100),BD54-BD53+BD54,IF(ISNUMBER(BC55),BC55,IF(AND(ISTEXT(BC55),$AZ55&gt;=10,$AZ55&lt;30),AVERAGE(BC54,BC56),IF(AND($AZ55=30,ISTEXT(BC55),ISNUMBER(BC54),ISNUMBER(BC56)),AVERAGE(BC54,BC56),IF(AND($AZ55=30,ISTEXT(BC55),ISTEXT(BC56)),((BC57-BC54)/3)+BC54,IF(AND($AZ55=30,ISTEXT(BC55),ISTEXT(BC54)),((BC56-BC53)/3)*2+BC53,IF(AND(ISTEXT(BC55),$AZ55&gt;30,$AZ55&lt;40),((BC56-BD54)/2)+BD54,IF(AND(ISTEXT(BC55),ISTEXT(BC56),$AZ55&gt;30),(AVERAGE(BC57:BC61)-BD54)/2+BD54,IF(AND(ISTEXT(BC55),ISTEXT(BC54),$AZ55&gt;=40),ABS(BD54-BC56)/2+MIN(BD54,BC56),"")))))))))</f>
        <v>0.47803492954424853</v>
      </c>
      <c r="BE55" s="160" t="e">
        <f t="shared" si="101"/>
        <v>#N/A</v>
      </c>
      <c r="BF55" s="67">
        <f t="shared" si="80"/>
        <v>0.77113113589613969</v>
      </c>
      <c r="BG55" s="59" t="str">
        <f t="shared" si="102"/>
        <v/>
      </c>
      <c r="BH55" s="678">
        <f>IF(AND(ISNUMBER(BH54),SUM(BG55:BG61)=0,$AW55=100),BH54-BH53+BH54,IF(ISNUMBER(BG55),BG55,IF(AND(ISTEXT(BG55),$AZ55&gt;=10,$AZ55&lt;30),AVERAGE(BG54,BG56),IF(AND($AZ55=30,ISTEXT(BG55),ISNUMBER(BG54),ISNUMBER(BG56)),AVERAGE(BG54,BG56),IF(AND($AZ55=30,ISTEXT(BG55),ISTEXT(BG56)),((BG57-BG54)/3)+BG54,IF(AND($AZ55=30,ISTEXT(BG55),ISTEXT(BG54)),((BG56-BG53)/3)*2+BG53,IF(AND(ISTEXT(BG55),$AZ55&gt;30,$AZ55&lt;40),((BG56-BH54)/2)+BH54,IF(AND(ISTEXT(BG55),ISTEXT(BG56),$AZ55&gt;30),(AVERAGE(BG57:BG61)-BH54)/2+BH54,IF(AND(ISTEXT(BG55),ISTEXT(BG54),$AZ55&gt;=40),ABS(BH54-BG56)/2+MIN(BH54,BG56),"")))))))))</f>
        <v>1.1729879658002469</v>
      </c>
      <c r="BI55" s="160" t="e">
        <f t="shared" si="103"/>
        <v>#N/A</v>
      </c>
      <c r="BJ55" s="67">
        <f t="shared" si="81"/>
        <v>0.37447499879945823</v>
      </c>
      <c r="BK55" s="59" t="str">
        <f t="shared" si="104"/>
        <v/>
      </c>
      <c r="BL55" s="678">
        <f>IF(AND(ISNUMBER(BL54),SUM(BK55:BK61)=0,$AW55=100),BL54-BL53+BL54,IF(ISNUMBER(BK55),BK55,IF(AND(ISTEXT(BK55),$AZ55&gt;=10,$AZ55&lt;30),AVERAGE(BK54,BK56),IF(AND($AZ55=30,ISTEXT(BK55),ISNUMBER(BK54),ISNUMBER(BK56)),AVERAGE(BK54,BK56),IF(AND($AZ55=30,ISTEXT(BK55),ISTEXT(BK56)),((BK57-BK54)/3)+BK54,IF(AND($AZ55=30,ISTEXT(BK55),ISTEXT(BK54)),((BK56-BK53)/3)*2+BK53,IF(AND(ISTEXT(BK55),$AZ55&gt;30,$AZ55&lt;40),((BK56-BL54)/2)+BL54,IF(AND(ISTEXT(BK55),ISTEXT(BK56),$AZ55&gt;30),(AVERAGE(BK57:BK61)-BL54)/2+BL54,IF(AND(ISTEXT(BK55),ISTEXT(BK54),$AZ55&gt;=40),ABS(BL54-BK56)/2+MIN(BL54,BK56),"")))))))))</f>
        <v>0.54340250719375671</v>
      </c>
      <c r="BN55" s="85">
        <f t="shared" si="112"/>
        <v>2.2601492513643917</v>
      </c>
      <c r="BO55" s="59">
        <f t="shared" si="113"/>
        <v>7.9066274740993103</v>
      </c>
      <c r="BP55" s="59">
        <f t="shared" si="114"/>
        <v>4.1417240087054079</v>
      </c>
      <c r="BQ55" s="184">
        <f t="shared" si="105"/>
        <v>13.491280000000003</v>
      </c>
      <c r="BR55" s="184">
        <f t="shared" si="106"/>
        <v>18.4588</v>
      </c>
      <c r="BS55" s="114">
        <f t="shared" si="82"/>
        <v>1552.346313444415</v>
      </c>
      <c r="BT55" s="184">
        <f t="shared" si="107"/>
        <v>0.77113113589613969</v>
      </c>
      <c r="BU55" s="184">
        <f t="shared" si="83"/>
        <v>12.952764000000002</v>
      </c>
      <c r="BV55" s="184">
        <f t="shared" si="84"/>
        <v>15.22632719494962</v>
      </c>
      <c r="BW55" s="114">
        <f t="shared" si="85"/>
        <v>1647.0841876368272</v>
      </c>
      <c r="BX55" s="184">
        <f t="shared" si="108"/>
        <v>0.37447499879945823</v>
      </c>
      <c r="BY55" s="161"/>
      <c r="BZ55" s="161"/>
      <c r="CA55" s="161"/>
      <c r="CB55" s="161"/>
      <c r="CC55" s="161"/>
      <c r="CD55" s="161">
        <f t="shared" si="109"/>
        <v>-30</v>
      </c>
      <c r="CE55" s="161">
        <f t="shared" si="110"/>
        <v>-10</v>
      </c>
      <c r="CF55" s="161"/>
      <c r="CG55" s="161"/>
      <c r="CH55" s="1179">
        <f t="shared" si="86"/>
        <v>2.54</v>
      </c>
      <c r="CI55" s="1179"/>
      <c r="CJ55" s="1179">
        <f t="shared" si="87"/>
        <v>4.1739999999999995</v>
      </c>
      <c r="CK55" s="1179"/>
      <c r="CL55" s="1179">
        <f t="shared" si="88"/>
        <v>1.7114847301680043</v>
      </c>
      <c r="CM55" s="1179"/>
    </row>
    <row r="56" spans="2:91">
      <c r="B56" s="247">
        <v>6</v>
      </c>
      <c r="C56" s="1025">
        <f t="shared" si="89"/>
        <v>1.2</v>
      </c>
      <c r="D56" s="1178"/>
      <c r="E56" s="1029" t="str">
        <f t="shared" si="61"/>
        <v/>
      </c>
      <c r="F56" s="1025"/>
      <c r="G56" s="1170">
        <f t="shared" si="62"/>
        <v>2.54</v>
      </c>
      <c r="H56" s="1170"/>
      <c r="I56" s="1170">
        <f t="shared" si="63"/>
        <v>4.258</v>
      </c>
      <c r="J56" s="1170"/>
      <c r="K56" s="1170">
        <f t="shared" si="64"/>
        <v>1.7114847301680043</v>
      </c>
      <c r="L56" s="1171"/>
      <c r="M56" s="1175">
        <f t="shared" si="65"/>
        <v>13.4</v>
      </c>
      <c r="N56" s="1026"/>
      <c r="O56" s="1176" t="str">
        <f t="shared" si="66"/>
        <v/>
      </c>
      <c r="P56" s="1170"/>
      <c r="Q56" s="1170">
        <f t="shared" si="67"/>
        <v>41.45</v>
      </c>
      <c r="R56" s="1171"/>
      <c r="S56" s="1176" t="str">
        <f t="shared" si="68"/>
        <v/>
      </c>
      <c r="T56" s="1170"/>
      <c r="U56" s="1170">
        <f t="shared" si="69"/>
        <v>15.62</v>
      </c>
      <c r="V56" s="1170"/>
      <c r="W56" s="1170">
        <f t="shared" si="70"/>
        <v>21.962</v>
      </c>
      <c r="X56" s="1170"/>
      <c r="Y56" s="1170">
        <f t="shared" si="71"/>
        <v>12.737760999999999</v>
      </c>
      <c r="Z56" s="1170"/>
      <c r="AA56" s="1170">
        <f t="shared" si="90"/>
        <v>16.773253666666665</v>
      </c>
      <c r="AB56" s="1171"/>
      <c r="AC56" s="1029">
        <f t="shared" si="72"/>
        <v>13.4</v>
      </c>
      <c r="AD56" s="1026"/>
      <c r="AE56" s="1180">
        <f t="shared" si="73"/>
        <v>1600.3447626415452</v>
      </c>
      <c r="AF56" s="1181"/>
      <c r="AG56" s="1177" t="str">
        <f t="shared" si="74"/>
        <v/>
      </c>
      <c r="AH56" s="1171"/>
      <c r="AI56" s="420" t="str">
        <f t="shared" si="91"/>
        <v/>
      </c>
      <c r="AJ56" s="418" t="str">
        <f t="shared" si="75"/>
        <v/>
      </c>
      <c r="AK56" s="92" t="str">
        <f t="shared" si="75"/>
        <v/>
      </c>
      <c r="AL56" s="630" t="str">
        <f t="shared" si="76"/>
        <v/>
      </c>
      <c r="AM56" s="655">
        <f t="shared" si="77"/>
        <v>12.198296000000003</v>
      </c>
      <c r="AN56" s="653">
        <f t="shared" si="92"/>
        <v>14.851472502110971</v>
      </c>
      <c r="AO56" s="92">
        <f t="shared" si="93"/>
        <v>1658.8240611916365</v>
      </c>
      <c r="AP56" s="654">
        <f t="shared" si="94"/>
        <v>4.4011530202899358</v>
      </c>
      <c r="AQ56" s="625">
        <v>0.6</v>
      </c>
      <c r="AR56" s="629">
        <f t="shared" si="95"/>
        <v>27.803196156489889</v>
      </c>
      <c r="AS56" s="629">
        <f t="shared" si="78"/>
        <v>88.917879797517031</v>
      </c>
      <c r="AT56" s="630">
        <f t="shared" si="79"/>
        <v>45.785388760762622</v>
      </c>
      <c r="AU56" s="111"/>
      <c r="AV56" s="338"/>
      <c r="AW56" s="91">
        <v>60</v>
      </c>
      <c r="AX56" s="160">
        <f t="shared" si="96"/>
        <v>120</v>
      </c>
      <c r="AY56" s="160">
        <f t="shared" si="97"/>
        <v>0.52017036428459729</v>
      </c>
      <c r="AZ56" s="160">
        <f t="shared" si="111"/>
        <v>30</v>
      </c>
      <c r="BA56" s="91">
        <f t="shared" si="98"/>
        <v>120</v>
      </c>
      <c r="BB56" s="85">
        <f t="shared" si="99"/>
        <v>0.53983688385113848</v>
      </c>
      <c r="BC56" s="59">
        <f t="shared" si="100"/>
        <v>0.52017036428459729</v>
      </c>
      <c r="BD56" s="678">
        <f t="shared" ref="BD56:BD65" si="115">IF(AND(ISNUMBER(BD55),SUM(BC56:BC62)=0,$AW56=100),BD55-BD54+BD55,IF(ISNUMBER(BC56),BC56,IF(AND(ISTEXT(BC56),$AZ56&gt;=10,$AZ56&lt;30),AVERAGE(BC55,BC57),IF(AND($AZ56=30,ISTEXT(BC56),ISNUMBER(BC55),ISNUMBER(BC57)),AVERAGE(BC55,BC57),IF(AND($AZ56=30,ISTEXT(BC56),ISTEXT(BC57)),((BC58-BC55)/3)+BC55,IF(AND($AZ56=30,ISTEXT(BC56),ISTEXT(BC55)),((BC57-BC54)/3)*2+BC54,IF(AND(ISTEXT(BC56),$AZ56&gt;30,$AZ56&lt;40),((BC57-BD55)/2)+BD55,IF(AND(ISTEXT(BC56),ISTEXT(BC57),$AZ56&gt;30),(AVERAGE(BC58:BC62)-BD55)/2+BD55,IF(AND(ISTEXT(BC56),ISTEXT(BC55),$AZ56&gt;=40),ABS(BD55-BC57)/2+MIN(BD55,BC57),"")))))))))</f>
        <v>0.52017036428459729</v>
      </c>
      <c r="BE56" s="160">
        <f t="shared" si="101"/>
        <v>0.98516050565239199</v>
      </c>
      <c r="BF56" s="67">
        <f t="shared" si="80"/>
        <v>0.96691039709416604</v>
      </c>
      <c r="BG56" s="59">
        <f t="shared" si="102"/>
        <v>0.98516050565239199</v>
      </c>
      <c r="BH56" s="678">
        <f t="shared" ref="BH56:BH65" si="116">IF(AND(ISNUMBER(BH55),SUM(BG56:BG62)=0,$AW56=100),BH55-BH54+BH55,IF(ISNUMBER(BG56),BG56,IF(AND(ISTEXT(BG56),$AZ56&gt;=10,$AZ56&lt;30),AVERAGE(BG55,BG57),IF(AND($AZ56=30,ISTEXT(BG56),ISNUMBER(BG55),ISNUMBER(BG57)),AVERAGE(BG55,BG57),IF(AND($AZ56=30,ISTEXT(BG56),ISTEXT(BG57)),((BG58-BG55)/3)+BG55,IF(AND($AZ56=30,ISTEXT(BG56),ISTEXT(BG55)),((BG57-BG54)/3)*2+BG54,IF(AND(ISTEXT(BG56),$AZ56&gt;30,$AZ56&lt;40),((BG57-BH55)/2)+BH55,IF(AND(ISTEXT(BG56),ISTEXT(BG57),$AZ56&gt;30),(AVERAGE(BG58:BG62)-BH55)/2+BH55,IF(AND(ISTEXT(BG56),ISTEXT(BG55),$AZ56&gt;=40),ABS(BH55-BG57)/2+MIN(BH55,BG57),"")))))))))</f>
        <v>0.98516050565239199</v>
      </c>
      <c r="BI56" s="160">
        <f t="shared" si="103"/>
        <v>0.43681486737085395</v>
      </c>
      <c r="BJ56" s="67">
        <f t="shared" si="81"/>
        <v>0.44011530202899363</v>
      </c>
      <c r="BK56" s="59">
        <f t="shared" si="104"/>
        <v>0.43681486737085395</v>
      </c>
      <c r="BL56" s="678">
        <f t="shared" ref="BL56:BL65" si="117">IF(AND(ISNUMBER(BL55),SUM(BK56:BK62)=0,$AW56=100),BL55-BL54+BL55,IF(ISNUMBER(BK56),BK56,IF(AND(ISTEXT(BK56),$AZ56&gt;=10,$AZ56&lt;30),AVERAGE(BK55,BK57),IF(AND($AZ56=30,ISTEXT(BK56),ISNUMBER(BK55),ISNUMBER(BK57)),AVERAGE(BK55,BK57),IF(AND($AZ56=30,ISTEXT(BK56),ISTEXT(BK57)),((BK58-BK55)/3)+BK55,IF(AND($AZ56=30,ISTEXT(BK56),ISTEXT(BK55)),((BK57-BK54)/3)*2+BK54,IF(AND(ISTEXT(BK56),$AZ56&gt;30,$AZ56&lt;40),((BK57-BL55)/2)+BL55,IF(AND(ISTEXT(BK56),ISTEXT(BK57),$AZ56&gt;30),(AVERAGE(BK58:BK62)-BL55)/2+BL55,IF(AND(ISTEXT(BK56),ISTEXT(BK55),$AZ56&gt;=40),ABS(BL55-BK57)/2+MIN(BL55,BK57),"")))))))))</f>
        <v>0.43681486737085395</v>
      </c>
      <c r="BN56" s="85">
        <f t="shared" si="112"/>
        <v>2.7803196156489891</v>
      </c>
      <c r="BO56" s="59">
        <f t="shared" si="113"/>
        <v>8.8917879797517028</v>
      </c>
      <c r="BP56" s="59">
        <f t="shared" si="114"/>
        <v>4.5785388760762622</v>
      </c>
      <c r="BQ56" s="184">
        <f t="shared" si="105"/>
        <v>14.352360000000003</v>
      </c>
      <c r="BR56" s="184">
        <f t="shared" si="106"/>
        <v>20.845600000000001</v>
      </c>
      <c r="BS56" s="114">
        <f t="shared" si="82"/>
        <v>1489.1031243172383</v>
      </c>
      <c r="BT56" s="184">
        <f t="shared" si="107"/>
        <v>0.96691039709416604</v>
      </c>
      <c r="BU56" s="184">
        <f t="shared" si="83"/>
        <v>12.198296000000003</v>
      </c>
      <c r="BV56" s="184">
        <f t="shared" si="84"/>
        <v>14.851472502110971</v>
      </c>
      <c r="BW56" s="114">
        <f t="shared" si="85"/>
        <v>1658.8240611916365</v>
      </c>
      <c r="BX56" s="184">
        <f t="shared" si="108"/>
        <v>0.44011530202899363</v>
      </c>
      <c r="BY56" s="161"/>
      <c r="BZ56" s="161"/>
      <c r="CA56" s="161"/>
      <c r="CB56" s="161"/>
      <c r="CC56" s="161"/>
      <c r="CD56" s="161">
        <f t="shared" si="109"/>
        <v>0</v>
      </c>
      <c r="CE56" s="161">
        <f t="shared" si="110"/>
        <v>20</v>
      </c>
      <c r="CF56" s="161"/>
      <c r="CG56" s="161"/>
      <c r="CH56" s="1179">
        <f t="shared" si="86"/>
        <v>2.54</v>
      </c>
      <c r="CI56" s="1179"/>
      <c r="CJ56" s="1179">
        <f t="shared" si="87"/>
        <v>4.258</v>
      </c>
      <c r="CK56" s="1179"/>
      <c r="CL56" s="1179">
        <f t="shared" si="88"/>
        <v>1.7114847301680043</v>
      </c>
      <c r="CM56" s="1179"/>
    </row>
    <row r="57" spans="2:91">
      <c r="B57" s="247">
        <v>7</v>
      </c>
      <c r="C57" s="1025" t="str">
        <f t="shared" si="89"/>
        <v/>
      </c>
      <c r="D57" s="1178"/>
      <c r="E57" s="1029" t="str">
        <f t="shared" si="61"/>
        <v/>
      </c>
      <c r="F57" s="1025"/>
      <c r="G57" s="1170" t="str">
        <f t="shared" si="62"/>
        <v/>
      </c>
      <c r="H57" s="1170"/>
      <c r="I57" s="1170" t="str">
        <f t="shared" si="63"/>
        <v/>
      </c>
      <c r="J57" s="1170"/>
      <c r="K57" s="1170" t="str">
        <f t="shared" si="64"/>
        <v/>
      </c>
      <c r="L57" s="1171"/>
      <c r="M57" s="1175" t="str">
        <f t="shared" si="65"/>
        <v/>
      </c>
      <c r="N57" s="1026"/>
      <c r="O57" s="1176" t="str">
        <f t="shared" si="66"/>
        <v/>
      </c>
      <c r="P57" s="1170"/>
      <c r="Q57" s="1170" t="str">
        <f t="shared" si="67"/>
        <v/>
      </c>
      <c r="R57" s="1171"/>
      <c r="S57" s="1176" t="str">
        <f t="shared" si="68"/>
        <v/>
      </c>
      <c r="T57" s="1170"/>
      <c r="U57" s="1170" t="str">
        <f t="shared" si="69"/>
        <v/>
      </c>
      <c r="V57" s="1170"/>
      <c r="W57" s="1170" t="str">
        <f t="shared" si="70"/>
        <v/>
      </c>
      <c r="X57" s="1170"/>
      <c r="Y57" s="1170" t="str">
        <f t="shared" si="71"/>
        <v/>
      </c>
      <c r="Z57" s="1170"/>
      <c r="AA57" s="1170" t="str">
        <f t="shared" si="90"/>
        <v/>
      </c>
      <c r="AB57" s="1171"/>
      <c r="AC57" s="1029" t="str">
        <f t="shared" si="72"/>
        <v/>
      </c>
      <c r="AD57" s="1026"/>
      <c r="AE57" s="1180" t="str">
        <f t="shared" si="73"/>
        <v/>
      </c>
      <c r="AF57" s="1181"/>
      <c r="AG57" s="1177" t="str">
        <f t="shared" si="74"/>
        <v/>
      </c>
      <c r="AH57" s="1171"/>
      <c r="AI57" s="420" t="str">
        <f t="shared" si="91"/>
        <v/>
      </c>
      <c r="AJ57" s="418" t="str">
        <f t="shared" si="75"/>
        <v/>
      </c>
      <c r="AK57" s="92" t="str">
        <f t="shared" si="75"/>
        <v/>
      </c>
      <c r="AL57" s="630" t="str">
        <f t="shared" si="76"/>
        <v/>
      </c>
      <c r="AM57" s="655" t="str">
        <f t="shared" si="77"/>
        <v/>
      </c>
      <c r="AN57" s="653" t="str">
        <f t="shared" si="92"/>
        <v/>
      </c>
      <c r="AO57" s="92" t="str">
        <f t="shared" si="93"/>
        <v/>
      </c>
      <c r="AP57" s="654" t="str">
        <f t="shared" si="94"/>
        <v/>
      </c>
      <c r="AQ57" s="625">
        <v>0.7</v>
      </c>
      <c r="AR57" s="629">
        <f t="shared" si="95"/>
        <v>33.136207445544258</v>
      </c>
      <c r="AS57" s="629">
        <f t="shared" si="78"/>
        <v>98.056053621520107</v>
      </c>
      <c r="AT57" s="630">
        <f t="shared" si="79"/>
        <v>49.945737872566511</v>
      </c>
      <c r="AU57" s="111"/>
      <c r="AV57" s="338"/>
      <c r="AW57" s="91">
        <v>70</v>
      </c>
      <c r="AX57" s="160" t="e">
        <f t="shared" si="96"/>
        <v>#VALUE!</v>
      </c>
      <c r="AY57" s="160" t="e">
        <f t="shared" si="97"/>
        <v>#N/A</v>
      </c>
      <c r="AZ57" s="160">
        <f t="shared" si="111"/>
        <v>30</v>
      </c>
      <c r="BA57" s="91" t="e">
        <f t="shared" si="98"/>
        <v>#VALUE!</v>
      </c>
      <c r="BB57" s="85" t="str">
        <f t="shared" si="99"/>
        <v/>
      </c>
      <c r="BC57" s="59" t="str">
        <f t="shared" si="100"/>
        <v/>
      </c>
      <c r="BD57" s="678">
        <f t="shared" si="115"/>
        <v>0.53330112890543691</v>
      </c>
      <c r="BE57" s="160" t="e">
        <f t="shared" si="101"/>
        <v>#N/A</v>
      </c>
      <c r="BF57" s="67" t="str">
        <f t="shared" si="80"/>
        <v/>
      </c>
      <c r="BG57" s="59" t="str">
        <f t="shared" si="102"/>
        <v/>
      </c>
      <c r="BH57" s="678">
        <f t="shared" si="116"/>
        <v>0.91381738240030785</v>
      </c>
      <c r="BI57" s="160" t="e">
        <f t="shared" si="103"/>
        <v>#N/A</v>
      </c>
      <c r="BJ57" s="67" t="str">
        <f t="shared" si="81"/>
        <v/>
      </c>
      <c r="BK57" s="59" t="str">
        <f t="shared" si="104"/>
        <v/>
      </c>
      <c r="BL57" s="678">
        <f t="shared" si="117"/>
        <v>0.41603491118038871</v>
      </c>
      <c r="BN57" s="85">
        <f t="shared" si="112"/>
        <v>3.3136207445544259</v>
      </c>
      <c r="BO57" s="59">
        <f t="shared" si="113"/>
        <v>9.8056053621520114</v>
      </c>
      <c r="BP57" s="59">
        <f t="shared" si="114"/>
        <v>4.9945737872566509</v>
      </c>
      <c r="BQ57" s="184" t="str">
        <f t="shared" si="105"/>
        <v/>
      </c>
      <c r="BR57" s="184" t="str">
        <f t="shared" si="106"/>
        <v/>
      </c>
      <c r="BS57" s="114" t="str">
        <f t="shared" si="82"/>
        <v/>
      </c>
      <c r="BT57" s="184" t="str">
        <f t="shared" si="107"/>
        <v/>
      </c>
      <c r="BU57" s="184" t="str">
        <f t="shared" si="83"/>
        <v/>
      </c>
      <c r="BV57" s="184" t="str">
        <f t="shared" si="84"/>
        <v/>
      </c>
      <c r="BW57" s="114" t="str">
        <f t="shared" si="85"/>
        <v/>
      </c>
      <c r="BX57" s="184" t="str">
        <f t="shared" si="108"/>
        <v/>
      </c>
      <c r="BY57" s="161"/>
      <c r="BZ57" s="161"/>
      <c r="CA57" s="161"/>
      <c r="CB57" s="161"/>
      <c r="CC57" s="161"/>
      <c r="CD57" s="161" t="str">
        <f t="shared" si="109"/>
        <v/>
      </c>
      <c r="CE57" s="161" t="str">
        <f t="shared" si="110"/>
        <v/>
      </c>
      <c r="CF57" s="161"/>
      <c r="CG57" s="161"/>
      <c r="CH57" s="1179" t="str">
        <f t="shared" si="86"/>
        <v/>
      </c>
      <c r="CI57" s="1179"/>
      <c r="CJ57" s="1179" t="str">
        <f t="shared" si="87"/>
        <v/>
      </c>
      <c r="CK57" s="1179"/>
      <c r="CL57" s="1179" t="str">
        <f t="shared" si="88"/>
        <v/>
      </c>
      <c r="CM57" s="1179"/>
    </row>
    <row r="58" spans="2:91">
      <c r="B58" s="247">
        <v>8</v>
      </c>
      <c r="C58" s="1025" t="str">
        <f t="shared" si="89"/>
        <v/>
      </c>
      <c r="D58" s="1178"/>
      <c r="E58" s="1029" t="str">
        <f t="shared" si="61"/>
        <v/>
      </c>
      <c r="F58" s="1025"/>
      <c r="G58" s="1170" t="str">
        <f t="shared" si="62"/>
        <v/>
      </c>
      <c r="H58" s="1170"/>
      <c r="I58" s="1170" t="str">
        <f t="shared" si="63"/>
        <v/>
      </c>
      <c r="J58" s="1170"/>
      <c r="K58" s="1170" t="str">
        <f t="shared" si="64"/>
        <v/>
      </c>
      <c r="L58" s="1171"/>
      <c r="M58" s="1175" t="str">
        <f t="shared" si="65"/>
        <v/>
      </c>
      <c r="N58" s="1026"/>
      <c r="O58" s="1176" t="str">
        <f t="shared" si="66"/>
        <v/>
      </c>
      <c r="P58" s="1170"/>
      <c r="Q58" s="1170" t="str">
        <f t="shared" si="67"/>
        <v/>
      </c>
      <c r="R58" s="1171"/>
      <c r="S58" s="1176" t="str">
        <f t="shared" si="68"/>
        <v/>
      </c>
      <c r="T58" s="1170"/>
      <c r="U58" s="1170" t="str">
        <f t="shared" si="69"/>
        <v/>
      </c>
      <c r="V58" s="1170"/>
      <c r="W58" s="1170" t="str">
        <f t="shared" si="70"/>
        <v/>
      </c>
      <c r="X58" s="1170"/>
      <c r="Y58" s="1170" t="str">
        <f t="shared" si="71"/>
        <v/>
      </c>
      <c r="Z58" s="1170"/>
      <c r="AA58" s="1170" t="str">
        <f t="shared" si="90"/>
        <v/>
      </c>
      <c r="AB58" s="1171"/>
      <c r="AC58" s="1029" t="str">
        <f t="shared" si="72"/>
        <v/>
      </c>
      <c r="AD58" s="1026"/>
      <c r="AE58" s="1180" t="str">
        <f t="shared" si="73"/>
        <v/>
      </c>
      <c r="AF58" s="1181"/>
      <c r="AG58" s="1177" t="str">
        <f t="shared" si="74"/>
        <v/>
      </c>
      <c r="AH58" s="1171"/>
      <c r="AI58" s="420" t="str">
        <f t="shared" si="91"/>
        <v/>
      </c>
      <c r="AJ58" s="418" t="str">
        <f t="shared" si="75"/>
        <v/>
      </c>
      <c r="AK58" s="92" t="str">
        <f t="shared" si="75"/>
        <v/>
      </c>
      <c r="AL58" s="630" t="str">
        <f t="shared" si="76"/>
        <v/>
      </c>
      <c r="AM58" s="655" t="str">
        <f t="shared" ref="AM58:AO62" si="118">IF(ISNUMBER($C58),IF(AND(ISNUMBER(BU58),$B58&lt;=$CD$45),BU58,""),"")</f>
        <v/>
      </c>
      <c r="AN58" s="653" t="str">
        <f t="shared" si="118"/>
        <v/>
      </c>
      <c r="AO58" s="92" t="str">
        <f t="shared" si="118"/>
        <v/>
      </c>
      <c r="AP58" s="654" t="str">
        <f>IF(ISNUMBER($C58),IF(AND(ISNUMBER(BX58),$B58&lt;=$CD$45),IF($X$7="cm",BX58,IF($X$7="mm",BX58*10,"")),""),"")</f>
        <v/>
      </c>
      <c r="AQ58" s="625">
        <v>0.8</v>
      </c>
      <c r="AR58" s="629">
        <f t="shared" si="95"/>
        <v>38.600526380807025</v>
      </c>
      <c r="AS58" s="629">
        <f t="shared" si="78"/>
        <v>106.48079621300235</v>
      </c>
      <c r="AT58" s="630">
        <f t="shared" si="79"/>
        <v>53.898287422465742</v>
      </c>
      <c r="AU58" s="111"/>
      <c r="AV58" s="338"/>
      <c r="AW58" s="91">
        <v>80</v>
      </c>
      <c r="AX58" s="160" t="e">
        <f t="shared" si="96"/>
        <v>#VALUE!</v>
      </c>
      <c r="AY58" s="160" t="e">
        <f t="shared" si="97"/>
        <v>#N/A</v>
      </c>
      <c r="AZ58" s="160">
        <f t="shared" si="111"/>
        <v>30</v>
      </c>
      <c r="BA58" s="91" t="e">
        <f t="shared" si="98"/>
        <v>#VALUE!</v>
      </c>
      <c r="BB58" s="85" t="str">
        <f t="shared" si="99"/>
        <v/>
      </c>
      <c r="BC58" s="59" t="str">
        <f t="shared" si="100"/>
        <v/>
      </c>
      <c r="BD58" s="678">
        <f t="shared" si="115"/>
        <v>0.54643189352627664</v>
      </c>
      <c r="BE58" s="160" t="e">
        <f t="shared" si="101"/>
        <v>#N/A</v>
      </c>
      <c r="BF58" s="67" t="str">
        <f t="shared" si="80"/>
        <v/>
      </c>
      <c r="BG58" s="59" t="str">
        <f t="shared" si="102"/>
        <v/>
      </c>
      <c r="BH58" s="678">
        <f t="shared" si="116"/>
        <v>0.84247425914822383</v>
      </c>
      <c r="BI58" s="160" t="e">
        <f t="shared" si="103"/>
        <v>#N/A</v>
      </c>
      <c r="BJ58" s="67" t="str">
        <f t="shared" si="81"/>
        <v/>
      </c>
      <c r="BK58" s="59" t="str">
        <f t="shared" si="104"/>
        <v/>
      </c>
      <c r="BL58" s="678">
        <f t="shared" si="117"/>
        <v>0.39525495498992347</v>
      </c>
      <c r="BN58" s="85">
        <f t="shared" si="112"/>
        <v>3.8600526380807025</v>
      </c>
      <c r="BO58" s="59">
        <f t="shared" si="113"/>
        <v>10.648079621300235</v>
      </c>
      <c r="BP58" s="59">
        <f t="shared" si="114"/>
        <v>5.389828742246574</v>
      </c>
      <c r="BQ58" s="184" t="str">
        <f t="shared" si="105"/>
        <v/>
      </c>
      <c r="BR58" s="184" t="str">
        <f t="shared" si="106"/>
        <v/>
      </c>
      <c r="BS58" s="114" t="str">
        <f t="shared" si="82"/>
        <v/>
      </c>
      <c r="BT58" s="184" t="str">
        <f t="shared" si="107"/>
        <v/>
      </c>
      <c r="BU58" s="184" t="str">
        <f t="shared" si="83"/>
        <v/>
      </c>
      <c r="BV58" s="184" t="str">
        <f t="shared" si="84"/>
        <v/>
      </c>
      <c r="BW58" s="114" t="str">
        <f t="shared" si="85"/>
        <v/>
      </c>
      <c r="BX58" s="184" t="str">
        <f t="shared" si="108"/>
        <v/>
      </c>
      <c r="BY58" s="161"/>
      <c r="BZ58" s="161"/>
      <c r="CA58" s="161"/>
      <c r="CB58" s="161"/>
      <c r="CC58" s="161"/>
      <c r="CD58" s="161" t="str">
        <f t="shared" si="109"/>
        <v/>
      </c>
      <c r="CE58" s="161" t="str">
        <f t="shared" si="110"/>
        <v/>
      </c>
      <c r="CF58" s="161"/>
      <c r="CG58" s="161"/>
      <c r="CH58" s="1179" t="str">
        <f t="shared" si="86"/>
        <v/>
      </c>
      <c r="CI58" s="1179"/>
      <c r="CJ58" s="1179" t="str">
        <f t="shared" si="87"/>
        <v/>
      </c>
      <c r="CK58" s="1179"/>
      <c r="CL58" s="1179" t="str">
        <f t="shared" si="88"/>
        <v/>
      </c>
      <c r="CM58" s="1179"/>
    </row>
    <row r="59" spans="2:91">
      <c r="B59" s="247">
        <v>9</v>
      </c>
      <c r="C59" s="1025" t="str">
        <f t="shared" si="89"/>
        <v/>
      </c>
      <c r="D59" s="1178"/>
      <c r="E59" s="1029" t="str">
        <f t="shared" si="61"/>
        <v/>
      </c>
      <c r="F59" s="1025"/>
      <c r="G59" s="1170" t="str">
        <f t="shared" si="62"/>
        <v/>
      </c>
      <c r="H59" s="1170"/>
      <c r="I59" s="1170" t="str">
        <f t="shared" si="63"/>
        <v/>
      </c>
      <c r="J59" s="1170"/>
      <c r="K59" s="1170" t="str">
        <f t="shared" si="64"/>
        <v/>
      </c>
      <c r="L59" s="1171"/>
      <c r="M59" s="1175" t="str">
        <f t="shared" si="65"/>
        <v/>
      </c>
      <c r="N59" s="1026"/>
      <c r="O59" s="1176" t="str">
        <f t="shared" si="66"/>
        <v/>
      </c>
      <c r="P59" s="1170"/>
      <c r="Q59" s="1170" t="str">
        <f t="shared" si="67"/>
        <v/>
      </c>
      <c r="R59" s="1171"/>
      <c r="S59" s="1176" t="str">
        <f t="shared" si="68"/>
        <v/>
      </c>
      <c r="T59" s="1170"/>
      <c r="U59" s="1170" t="str">
        <f t="shared" si="69"/>
        <v/>
      </c>
      <c r="V59" s="1170"/>
      <c r="W59" s="1170" t="str">
        <f t="shared" si="70"/>
        <v/>
      </c>
      <c r="X59" s="1170"/>
      <c r="Y59" s="1170" t="str">
        <f t="shared" si="71"/>
        <v/>
      </c>
      <c r="Z59" s="1170"/>
      <c r="AA59" s="1170" t="str">
        <f t="shared" si="90"/>
        <v/>
      </c>
      <c r="AB59" s="1171"/>
      <c r="AC59" s="1029" t="str">
        <f t="shared" si="72"/>
        <v/>
      </c>
      <c r="AD59" s="1026"/>
      <c r="AE59" s="1180" t="str">
        <f t="shared" si="73"/>
        <v/>
      </c>
      <c r="AF59" s="1181"/>
      <c r="AG59" s="1177" t="str">
        <f t="shared" si="74"/>
        <v/>
      </c>
      <c r="AH59" s="1171"/>
      <c r="AI59" s="420" t="str">
        <f t="shared" si="91"/>
        <v/>
      </c>
      <c r="AJ59" s="418" t="str">
        <f t="shared" si="75"/>
        <v/>
      </c>
      <c r="AK59" s="92" t="str">
        <f t="shared" si="75"/>
        <v/>
      </c>
      <c r="AL59" s="630" t="str">
        <f t="shared" si="76"/>
        <v/>
      </c>
      <c r="AM59" s="655" t="str">
        <f t="shared" si="118"/>
        <v/>
      </c>
      <c r="AN59" s="653" t="str">
        <f t="shared" si="118"/>
        <v/>
      </c>
      <c r="AO59" s="92" t="str">
        <f t="shared" si="118"/>
        <v/>
      </c>
      <c r="AP59" s="654" t="str">
        <f>IF(ISNUMBER($C59),IF(AND(ISNUMBER(BX59),$B59&lt;=$CD$45),IF($X$7="cm",BX59,IF($X$7="mm",BX59*10,"")),""),"")</f>
        <v/>
      </c>
      <c r="AQ59" s="652">
        <v>0.9</v>
      </c>
      <c r="AR59" s="629">
        <f t="shared" si="95"/>
        <v>44.196152962278184</v>
      </c>
      <c r="AS59" s="629">
        <f t="shared" si="78"/>
        <v>114.19210757196375</v>
      </c>
      <c r="AT59" s="654">
        <f t="shared" si="79"/>
        <v>57.643037410460323</v>
      </c>
      <c r="AU59" s="111"/>
      <c r="AV59" s="338"/>
      <c r="AW59" s="91">
        <v>90</v>
      </c>
      <c r="AX59" s="160" t="e">
        <f t="shared" si="96"/>
        <v>#VALUE!</v>
      </c>
      <c r="AY59" s="160">
        <f t="shared" si="97"/>
        <v>0.55956265814711625</v>
      </c>
      <c r="AZ59" s="160">
        <f t="shared" si="111"/>
        <v>30</v>
      </c>
      <c r="BA59" s="91" t="e">
        <f t="shared" si="98"/>
        <v>#VALUE!</v>
      </c>
      <c r="BB59" s="85" t="str">
        <f t="shared" si="99"/>
        <v/>
      </c>
      <c r="BC59" s="59">
        <f>IF(ISNUMBER(AY59),AY59,"")</f>
        <v>0.55956265814711625</v>
      </c>
      <c r="BD59" s="678">
        <f t="shared" si="115"/>
        <v>0.55956265814711625</v>
      </c>
      <c r="BE59" s="160">
        <f t="shared" si="101"/>
        <v>0.77113113589613969</v>
      </c>
      <c r="BF59" s="67" t="str">
        <f t="shared" si="80"/>
        <v/>
      </c>
      <c r="BG59" s="59">
        <f t="shared" si="102"/>
        <v>0.77113113589613969</v>
      </c>
      <c r="BH59" s="678">
        <f t="shared" si="116"/>
        <v>0.77113113589613969</v>
      </c>
      <c r="BI59" s="160">
        <f t="shared" si="103"/>
        <v>0.37447499879945823</v>
      </c>
      <c r="BJ59" s="67" t="str">
        <f t="shared" si="81"/>
        <v/>
      </c>
      <c r="BK59" s="59">
        <f>IF(ISNUMBER(BI59),BI59,"")</f>
        <v>0.37447499879945823</v>
      </c>
      <c r="BL59" s="678">
        <f t="shared" si="117"/>
        <v>0.37447499879945823</v>
      </c>
      <c r="BN59" s="85">
        <f t="shared" si="112"/>
        <v>4.4196152962278186</v>
      </c>
      <c r="BO59" s="59">
        <f t="shared" si="113"/>
        <v>11.419210757196375</v>
      </c>
      <c r="BP59" s="59">
        <f t="shared" si="114"/>
        <v>5.7643037410460325</v>
      </c>
      <c r="BQ59" s="184" t="str">
        <f t="shared" si="105"/>
        <v/>
      </c>
      <c r="BR59" s="184" t="str">
        <f t="shared" si="106"/>
        <v/>
      </c>
      <c r="BS59" s="114" t="str">
        <f t="shared" si="82"/>
        <v/>
      </c>
      <c r="BT59" s="184" t="str">
        <f t="shared" si="107"/>
        <v/>
      </c>
      <c r="BU59" s="184" t="str">
        <f t="shared" si="83"/>
        <v/>
      </c>
      <c r="BV59" s="184" t="str">
        <f t="shared" si="84"/>
        <v/>
      </c>
      <c r="BW59" s="114" t="str">
        <f t="shared" si="85"/>
        <v/>
      </c>
      <c r="BX59" s="184" t="str">
        <f t="shared" si="108"/>
        <v/>
      </c>
      <c r="BY59" s="161"/>
      <c r="BZ59" s="161"/>
      <c r="CA59" s="161"/>
      <c r="CB59" s="161"/>
      <c r="CC59" s="161"/>
      <c r="CD59" s="161" t="str">
        <f t="shared" si="109"/>
        <v/>
      </c>
      <c r="CE59" s="161" t="str">
        <f t="shared" si="110"/>
        <v/>
      </c>
      <c r="CF59" s="161"/>
      <c r="CG59" s="161"/>
      <c r="CH59" s="1179" t="str">
        <f t="shared" si="86"/>
        <v/>
      </c>
      <c r="CI59" s="1179"/>
      <c r="CJ59" s="1179" t="str">
        <f t="shared" si="87"/>
        <v/>
      </c>
      <c r="CK59" s="1179"/>
      <c r="CL59" s="1179" t="str">
        <f t="shared" si="88"/>
        <v/>
      </c>
      <c r="CM59" s="1179"/>
    </row>
    <row r="60" spans="2:91" ht="15" thickBot="1">
      <c r="B60" s="247">
        <v>10</v>
      </c>
      <c r="C60" s="1025" t="str">
        <f t="shared" si="89"/>
        <v/>
      </c>
      <c r="D60" s="1178"/>
      <c r="E60" s="1029" t="str">
        <f t="shared" si="61"/>
        <v/>
      </c>
      <c r="F60" s="1025"/>
      <c r="G60" s="1170" t="str">
        <f t="shared" si="62"/>
        <v/>
      </c>
      <c r="H60" s="1170"/>
      <c r="I60" s="1170" t="str">
        <f t="shared" si="63"/>
        <v/>
      </c>
      <c r="J60" s="1170"/>
      <c r="K60" s="1170" t="str">
        <f t="shared" si="64"/>
        <v/>
      </c>
      <c r="L60" s="1171"/>
      <c r="M60" s="1175" t="str">
        <f t="shared" si="65"/>
        <v/>
      </c>
      <c r="N60" s="1026"/>
      <c r="O60" s="1176" t="str">
        <f t="shared" si="66"/>
        <v/>
      </c>
      <c r="P60" s="1170"/>
      <c r="Q60" s="1170" t="str">
        <f t="shared" si="67"/>
        <v/>
      </c>
      <c r="R60" s="1171"/>
      <c r="S60" s="1176" t="str">
        <f t="shared" si="68"/>
        <v/>
      </c>
      <c r="T60" s="1170"/>
      <c r="U60" s="1170" t="str">
        <f t="shared" si="69"/>
        <v/>
      </c>
      <c r="V60" s="1170"/>
      <c r="W60" s="1170" t="str">
        <f t="shared" si="70"/>
        <v/>
      </c>
      <c r="X60" s="1170"/>
      <c r="Y60" s="1170" t="str">
        <f t="shared" si="71"/>
        <v/>
      </c>
      <c r="Z60" s="1170"/>
      <c r="AA60" s="1170" t="str">
        <f t="shared" si="90"/>
        <v/>
      </c>
      <c r="AB60" s="1171"/>
      <c r="AC60" s="1029" t="str">
        <f t="shared" si="72"/>
        <v/>
      </c>
      <c r="AD60" s="1026"/>
      <c r="AE60" s="1180" t="str">
        <f t="shared" si="73"/>
        <v/>
      </c>
      <c r="AF60" s="1181"/>
      <c r="AG60" s="1177" t="str">
        <f t="shared" si="74"/>
        <v/>
      </c>
      <c r="AH60" s="1171"/>
      <c r="AI60" s="420" t="str">
        <f t="shared" si="91"/>
        <v/>
      </c>
      <c r="AJ60" s="418" t="str">
        <f t="shared" si="75"/>
        <v/>
      </c>
      <c r="AK60" s="92" t="str">
        <f t="shared" si="75"/>
        <v/>
      </c>
      <c r="AL60" s="630" t="str">
        <f t="shared" si="76"/>
        <v/>
      </c>
      <c r="AM60" s="655" t="str">
        <f t="shared" si="118"/>
        <v/>
      </c>
      <c r="AN60" s="653" t="str">
        <f t="shared" si="118"/>
        <v/>
      </c>
      <c r="AO60" s="92" t="str">
        <f t="shared" si="118"/>
        <v/>
      </c>
      <c r="AP60" s="654" t="str">
        <f>IF(ISNUMBER($C60),IF(AND(ISNUMBER(BX60),$B60&lt;=$CD$45),IF($X$7="cm",BX60,IF($X$7="mm",BX60*10,"")),""),"")</f>
        <v/>
      </c>
      <c r="AQ60" s="655">
        <v>1</v>
      </c>
      <c r="AR60" s="632">
        <f t="shared" si="95"/>
        <v>49.726026962762759</v>
      </c>
      <c r="AS60" s="632">
        <f t="shared" si="78"/>
        <v>122.5560164682519</v>
      </c>
      <c r="AT60" s="654">
        <f t="shared" si="79"/>
        <v>61.606588409220031</v>
      </c>
      <c r="AU60" s="111"/>
      <c r="AV60" s="338"/>
      <c r="AW60" s="91">
        <v>100</v>
      </c>
      <c r="AX60" s="160" t="e">
        <f t="shared" si="96"/>
        <v>#VALUE!</v>
      </c>
      <c r="AY60" s="160" t="e">
        <f t="shared" si="97"/>
        <v>#N/A</v>
      </c>
      <c r="AZ60" s="160">
        <f t="shared" si="111"/>
        <v>30</v>
      </c>
      <c r="BA60" s="91" t="e">
        <f t="shared" si="98"/>
        <v>#VALUE!</v>
      </c>
      <c r="BB60" s="85" t="str">
        <f t="shared" si="99"/>
        <v/>
      </c>
      <c r="BC60" s="59" t="str">
        <f t="shared" ref="BC60:BC67" si="119">IF(ISNUMBER(AY60),AY60,"")</f>
        <v/>
      </c>
      <c r="BD60" s="678">
        <f t="shared" si="115"/>
        <v>0.55298740004845703</v>
      </c>
      <c r="BE60" s="160" t="e">
        <f t="shared" si="101"/>
        <v>#N/A</v>
      </c>
      <c r="BF60" s="67" t="str">
        <f t="shared" si="80"/>
        <v/>
      </c>
      <c r="BG60" s="59" t="str">
        <f t="shared" si="102"/>
        <v/>
      </c>
      <c r="BH60" s="678">
        <f t="shared" si="116"/>
        <v>0.83639088962881514</v>
      </c>
      <c r="BI60" s="160" t="e">
        <f t="shared" si="103"/>
        <v>#N/A</v>
      </c>
      <c r="BJ60" s="67" t="str">
        <f t="shared" si="81"/>
        <v/>
      </c>
      <c r="BK60" s="59" t="str">
        <f t="shared" si="104"/>
        <v/>
      </c>
      <c r="BL60" s="678">
        <f t="shared" si="117"/>
        <v>0.39635509987597001</v>
      </c>
      <c r="BN60" s="85">
        <f>BN59+BD60</f>
        <v>4.9726026962762759</v>
      </c>
      <c r="BO60" s="59">
        <f t="shared" si="113"/>
        <v>12.255601646825189</v>
      </c>
      <c r="BP60" s="59">
        <f t="shared" si="114"/>
        <v>6.1606588409220029</v>
      </c>
      <c r="BQ60" s="184" t="str">
        <f t="shared" si="105"/>
        <v/>
      </c>
      <c r="BR60" s="184" t="str">
        <f t="shared" si="106"/>
        <v/>
      </c>
      <c r="BS60" s="114" t="str">
        <f t="shared" si="82"/>
        <v/>
      </c>
      <c r="BT60" s="184" t="str">
        <f t="shared" si="107"/>
        <v/>
      </c>
      <c r="BU60" s="184" t="str">
        <f t="shared" si="83"/>
        <v/>
      </c>
      <c r="BV60" s="184" t="str">
        <f t="shared" si="84"/>
        <v/>
      </c>
      <c r="BW60" s="114" t="str">
        <f t="shared" si="85"/>
        <v/>
      </c>
      <c r="BX60" s="184" t="str">
        <f t="shared" si="108"/>
        <v/>
      </c>
      <c r="BY60" s="161"/>
      <c r="BZ60" s="161"/>
      <c r="CA60" s="161"/>
      <c r="CB60" s="161"/>
      <c r="CC60" s="161"/>
      <c r="CD60" s="161" t="str">
        <f t="shared" si="109"/>
        <v/>
      </c>
      <c r="CE60" s="161" t="str">
        <f t="shared" si="110"/>
        <v/>
      </c>
      <c r="CF60" s="161"/>
      <c r="CG60" s="161"/>
      <c r="CH60" s="1179" t="str">
        <f t="shared" si="86"/>
        <v/>
      </c>
      <c r="CI60" s="1179"/>
      <c r="CJ60" s="1179" t="str">
        <f t="shared" si="87"/>
        <v/>
      </c>
      <c r="CK60" s="1179"/>
      <c r="CL60" s="1179" t="str">
        <f t="shared" si="88"/>
        <v/>
      </c>
      <c r="CM60" s="1179"/>
    </row>
    <row r="61" spans="2:91">
      <c r="B61" s="247">
        <v>11</v>
      </c>
      <c r="C61" s="1025" t="str">
        <f t="shared" si="89"/>
        <v/>
      </c>
      <c r="D61" s="1178"/>
      <c r="E61" s="1029" t="str">
        <f t="shared" si="61"/>
        <v/>
      </c>
      <c r="F61" s="1025"/>
      <c r="G61" s="1170" t="str">
        <f t="shared" si="62"/>
        <v/>
      </c>
      <c r="H61" s="1170"/>
      <c r="I61" s="1170" t="str">
        <f t="shared" si="63"/>
        <v/>
      </c>
      <c r="J61" s="1170"/>
      <c r="K61" s="1170" t="str">
        <f t="shared" si="64"/>
        <v/>
      </c>
      <c r="L61" s="1171"/>
      <c r="M61" s="1175" t="str">
        <f t="shared" si="65"/>
        <v/>
      </c>
      <c r="N61" s="1026"/>
      <c r="O61" s="1176" t="str">
        <f t="shared" si="66"/>
        <v/>
      </c>
      <c r="P61" s="1170"/>
      <c r="Q61" s="1170" t="str">
        <f t="shared" si="67"/>
        <v/>
      </c>
      <c r="R61" s="1171"/>
      <c r="S61" s="1176" t="str">
        <f t="shared" si="68"/>
        <v/>
      </c>
      <c r="T61" s="1170"/>
      <c r="U61" s="1170" t="str">
        <f t="shared" si="69"/>
        <v/>
      </c>
      <c r="V61" s="1170"/>
      <c r="W61" s="1170" t="str">
        <f t="shared" si="70"/>
        <v/>
      </c>
      <c r="X61" s="1170"/>
      <c r="Y61" s="1170" t="str">
        <f t="shared" si="71"/>
        <v/>
      </c>
      <c r="Z61" s="1170"/>
      <c r="AA61" s="1170" t="str">
        <f t="shared" si="90"/>
        <v/>
      </c>
      <c r="AB61" s="1171"/>
      <c r="AC61" s="1029" t="str">
        <f t="shared" si="72"/>
        <v/>
      </c>
      <c r="AD61" s="1026"/>
      <c r="AE61" s="1180" t="str">
        <f t="shared" si="73"/>
        <v/>
      </c>
      <c r="AF61" s="1181"/>
      <c r="AG61" s="1177" t="str">
        <f t="shared" si="74"/>
        <v/>
      </c>
      <c r="AH61" s="1171"/>
      <c r="AI61" s="420" t="str">
        <f t="shared" si="91"/>
        <v/>
      </c>
      <c r="AJ61" s="418" t="str">
        <f t="shared" si="75"/>
        <v/>
      </c>
      <c r="AK61" s="92" t="str">
        <f t="shared" si="75"/>
        <v/>
      </c>
      <c r="AL61" s="630" t="str">
        <f t="shared" si="76"/>
        <v/>
      </c>
      <c r="AM61" s="655" t="str">
        <f t="shared" si="118"/>
        <v/>
      </c>
      <c r="AN61" s="653" t="str">
        <f t="shared" si="118"/>
        <v/>
      </c>
      <c r="AO61" s="92" t="str">
        <f t="shared" si="118"/>
        <v/>
      </c>
      <c r="AP61" s="654" t="str">
        <f>IF(ISNUMBER($C61),IF(AND(ISNUMBER(BX61),$B61&lt;=$CD$45),IF($X$7="cm",BX61,IF($X$7="mm",BX61*10,"")),""),"")</f>
        <v/>
      </c>
      <c r="AQ61" s="664">
        <v>1.1000000000000001</v>
      </c>
      <c r="AR61" s="1160" t="str">
        <f>IF(OR(AQ51&lt;0,AR51&lt;0,AS51&lt;0),"Difference between Wmax and Wmin is negative (see highlighted values), some input data may be incorrect","")</f>
        <v/>
      </c>
      <c r="AS61" s="1160"/>
      <c r="AT61" s="662">
        <f t="shared" si="79"/>
        <v>65.788940418744843</v>
      </c>
      <c r="AU61" s="112"/>
      <c r="AV61" s="184"/>
      <c r="AW61" s="91">
        <v>110</v>
      </c>
      <c r="AX61" s="160" t="e">
        <f t="shared" si="96"/>
        <v>#VALUE!</v>
      </c>
      <c r="AY61" s="160" t="e">
        <f t="shared" si="97"/>
        <v>#N/A</v>
      </c>
      <c r="AZ61" s="160">
        <f t="shared" si="111"/>
        <v>30</v>
      </c>
      <c r="BA61" s="91" t="e">
        <f t="shared" si="98"/>
        <v>#VALUE!</v>
      </c>
      <c r="BB61" s="85" t="str">
        <f t="shared" si="99"/>
        <v/>
      </c>
      <c r="BC61" s="59" t="str">
        <f t="shared" si="119"/>
        <v/>
      </c>
      <c r="BD61" s="678">
        <f t="shared" si="115"/>
        <v>0.5464121419497977</v>
      </c>
      <c r="BE61" s="160" t="e">
        <f t="shared" si="101"/>
        <v>#N/A</v>
      </c>
      <c r="BF61" s="67" t="str">
        <f t="shared" si="80"/>
        <v/>
      </c>
      <c r="BG61" s="59" t="str">
        <f t="shared" si="102"/>
        <v/>
      </c>
      <c r="BH61" s="678">
        <f t="shared" si="116"/>
        <v>0.90165064336149059</v>
      </c>
      <c r="BI61" s="160" t="e">
        <f t="shared" si="103"/>
        <v>#N/A</v>
      </c>
      <c r="BJ61" s="59" t="str">
        <f>IF(ISNUMBER(BE61),BE61,"")</f>
        <v/>
      </c>
      <c r="BK61" s="59" t="str">
        <f t="shared" si="104"/>
        <v/>
      </c>
      <c r="BL61" s="678">
        <f t="shared" si="117"/>
        <v>0.41823520095248184</v>
      </c>
      <c r="BN61" s="85">
        <f t="shared" si="112"/>
        <v>5.5190148382260737</v>
      </c>
      <c r="BO61" s="59">
        <f t="shared" si="113"/>
        <v>13.15725229018668</v>
      </c>
      <c r="BP61" s="59">
        <f t="shared" si="114"/>
        <v>6.5788940418744843</v>
      </c>
      <c r="BQ61" s="184" t="str">
        <f t="shared" si="105"/>
        <v/>
      </c>
      <c r="BR61" s="184" t="str">
        <f t="shared" si="106"/>
        <v/>
      </c>
      <c r="BS61" s="114" t="str">
        <f t="shared" si="82"/>
        <v/>
      </c>
      <c r="BT61" s="184" t="str">
        <f t="shared" si="107"/>
        <v/>
      </c>
      <c r="BU61" s="184" t="str">
        <f t="shared" si="83"/>
        <v/>
      </c>
      <c r="BV61" s="184" t="str">
        <f t="shared" si="84"/>
        <v/>
      </c>
      <c r="BW61" s="114" t="str">
        <f t="shared" si="85"/>
        <v/>
      </c>
      <c r="BX61" s="184" t="str">
        <f t="shared" si="108"/>
        <v/>
      </c>
      <c r="BY61" s="161"/>
      <c r="BZ61" s="161"/>
      <c r="CA61" s="161"/>
      <c r="CB61" s="161"/>
      <c r="CC61" s="161"/>
      <c r="CD61" s="161" t="str">
        <f t="shared" si="109"/>
        <v/>
      </c>
      <c r="CE61" s="161" t="str">
        <f>IF(ISNUMBER(C61),C61*100-100,"")</f>
        <v/>
      </c>
      <c r="CF61" s="161"/>
      <c r="CG61" s="161"/>
      <c r="CH61" s="1179" t="str">
        <f t="shared" si="86"/>
        <v/>
      </c>
      <c r="CI61" s="1179"/>
      <c r="CJ61" s="1179" t="str">
        <f t="shared" si="87"/>
        <v/>
      </c>
      <c r="CK61" s="1179"/>
      <c r="CL61" s="1179" t="str">
        <f t="shared" si="88"/>
        <v/>
      </c>
      <c r="CM61" s="1179"/>
    </row>
    <row r="62" spans="2:91" ht="15" thickBot="1">
      <c r="B62" s="248">
        <v>12</v>
      </c>
      <c r="C62" s="1032" t="str">
        <f t="shared" si="89"/>
        <v/>
      </c>
      <c r="D62" s="1054"/>
      <c r="E62" s="1031" t="str">
        <f t="shared" si="61"/>
        <v/>
      </c>
      <c r="F62" s="1032"/>
      <c r="G62" s="1182" t="str">
        <f t="shared" si="62"/>
        <v/>
      </c>
      <c r="H62" s="1182"/>
      <c r="I62" s="1182" t="str">
        <f t="shared" si="63"/>
        <v/>
      </c>
      <c r="J62" s="1182"/>
      <c r="K62" s="1182" t="str">
        <f t="shared" si="64"/>
        <v/>
      </c>
      <c r="L62" s="1183"/>
      <c r="M62" s="1186" t="str">
        <f t="shared" si="65"/>
        <v/>
      </c>
      <c r="N62" s="1054"/>
      <c r="O62" s="1187" t="str">
        <f t="shared" si="66"/>
        <v/>
      </c>
      <c r="P62" s="1182"/>
      <c r="Q62" s="1182" t="str">
        <f t="shared" si="67"/>
        <v/>
      </c>
      <c r="R62" s="1183"/>
      <c r="S62" s="1187" t="str">
        <f t="shared" si="68"/>
        <v/>
      </c>
      <c r="T62" s="1182"/>
      <c r="U62" s="1182" t="str">
        <f t="shared" si="69"/>
        <v/>
      </c>
      <c r="V62" s="1182"/>
      <c r="W62" s="1182" t="str">
        <f t="shared" si="70"/>
        <v/>
      </c>
      <c r="X62" s="1182"/>
      <c r="Y62" s="1182" t="str">
        <f t="shared" si="71"/>
        <v/>
      </c>
      <c r="Z62" s="1182"/>
      <c r="AA62" s="1182" t="str">
        <f t="shared" si="90"/>
        <v/>
      </c>
      <c r="AB62" s="1183"/>
      <c r="AC62" s="1031" t="str">
        <f t="shared" si="72"/>
        <v/>
      </c>
      <c r="AD62" s="1054"/>
      <c r="AE62" s="1189" t="str">
        <f>IF(ISNUMBER(C62),((0.852+0.0012*D45)*1000)/(0.3774+AA62/100),"")</f>
        <v/>
      </c>
      <c r="AF62" s="1190"/>
      <c r="AG62" s="1187" t="str">
        <f t="shared" si="74"/>
        <v/>
      </c>
      <c r="AH62" s="1183"/>
      <c r="AI62" s="633" t="str">
        <f t="shared" si="91"/>
        <v/>
      </c>
      <c r="AJ62" s="632" t="str">
        <f t="shared" si="75"/>
        <v/>
      </c>
      <c r="AK62" s="178" t="str">
        <f t="shared" si="75"/>
        <v/>
      </c>
      <c r="AL62" s="631" t="str">
        <f t="shared" si="76"/>
        <v/>
      </c>
      <c r="AM62" s="656" t="str">
        <f t="shared" si="118"/>
        <v/>
      </c>
      <c r="AN62" s="657" t="str">
        <f t="shared" si="118"/>
        <v/>
      </c>
      <c r="AO62" s="178" t="str">
        <f t="shared" si="118"/>
        <v/>
      </c>
      <c r="AP62" s="658" t="str">
        <f>IF(ISNUMBER($C62),IF(AND(ISNUMBER(BX62),$B62&lt;=$CD$45),IF($X$7="cm",BX62,IF($X$7="mm",BX62*10,"")),""),"")</f>
        <v/>
      </c>
      <c r="AQ62" s="663">
        <v>1.2</v>
      </c>
      <c r="AR62" s="1161"/>
      <c r="AS62" s="1161"/>
      <c r="AT62" s="663">
        <f t="shared" si="79"/>
        <v>70.190093439034783</v>
      </c>
      <c r="AU62" s="112"/>
      <c r="AV62" s="184"/>
      <c r="AW62" s="91">
        <v>120</v>
      </c>
      <c r="AX62" s="160" t="e">
        <f t="shared" si="96"/>
        <v>#VALUE!</v>
      </c>
      <c r="AY62" s="160">
        <f t="shared" si="97"/>
        <v>0.53983688385113848</v>
      </c>
      <c r="AZ62" s="160">
        <f t="shared" si="111"/>
        <v>30</v>
      </c>
      <c r="BA62" s="91" t="e">
        <f t="shared" si="98"/>
        <v>#VALUE!</v>
      </c>
      <c r="BB62" s="85" t="str">
        <f t="shared" si="99"/>
        <v/>
      </c>
      <c r="BC62" s="635">
        <f t="shared" si="119"/>
        <v>0.53983688385113848</v>
      </c>
      <c r="BD62" s="678">
        <f t="shared" si="115"/>
        <v>0.53983688385113848</v>
      </c>
      <c r="BE62" s="160">
        <f t="shared" si="101"/>
        <v>0.96691039709416604</v>
      </c>
      <c r="BF62" s="67" t="str">
        <f t="shared" si="80"/>
        <v/>
      </c>
      <c r="BG62" s="59">
        <f t="shared" si="102"/>
        <v>0.96691039709416604</v>
      </c>
      <c r="BH62" s="678">
        <f t="shared" si="116"/>
        <v>0.96691039709416604</v>
      </c>
      <c r="BI62" s="160">
        <f t="shared" si="103"/>
        <v>0.44011530202899363</v>
      </c>
      <c r="BJ62" s="59">
        <f>IF(ISNUMBER(BE62),BE62,"")</f>
        <v>0.96691039709416604</v>
      </c>
      <c r="BK62" s="59">
        <f t="shared" si="104"/>
        <v>0.44011530202899363</v>
      </c>
      <c r="BL62" s="678">
        <f t="shared" si="117"/>
        <v>0.44011530202899363</v>
      </c>
      <c r="BN62" s="85">
        <f t="shared" si="112"/>
        <v>6.058851722077212</v>
      </c>
      <c r="BO62" s="59">
        <f t="shared" si="113"/>
        <v>14.124162687280846</v>
      </c>
      <c r="BP62" s="59">
        <f t="shared" si="114"/>
        <v>7.0190093439034777</v>
      </c>
      <c r="BQ62" s="184" t="str">
        <f t="shared" si="105"/>
        <v/>
      </c>
      <c r="BR62" s="184" t="str">
        <f t="shared" si="106"/>
        <v/>
      </c>
      <c r="BS62" s="114" t="str">
        <f t="shared" si="82"/>
        <v/>
      </c>
      <c r="BT62" s="184" t="str">
        <f t="shared" si="107"/>
        <v/>
      </c>
      <c r="BU62" s="184" t="str">
        <f t="shared" si="83"/>
        <v/>
      </c>
      <c r="BV62" s="184" t="str">
        <f t="shared" si="84"/>
        <v/>
      </c>
      <c r="BW62" s="114" t="str">
        <f t="shared" si="85"/>
        <v/>
      </c>
      <c r="BX62" s="184" t="str">
        <f t="shared" si="108"/>
        <v/>
      </c>
      <c r="BY62" s="161"/>
      <c r="BZ62" s="161"/>
      <c r="CA62" s="161"/>
      <c r="CB62" s="161"/>
      <c r="CC62" s="161"/>
      <c r="CD62" s="161"/>
      <c r="CE62" s="161" t="str">
        <f t="shared" si="110"/>
        <v/>
      </c>
      <c r="CF62" s="161"/>
      <c r="CG62" s="161"/>
      <c r="CH62" s="1179" t="str">
        <f t="shared" si="86"/>
        <v/>
      </c>
      <c r="CI62" s="1179"/>
      <c r="CJ62" s="1179" t="str">
        <f t="shared" si="87"/>
        <v/>
      </c>
      <c r="CK62" s="1179"/>
      <c r="CL62" s="1179" t="str">
        <f t="shared" si="88"/>
        <v/>
      </c>
      <c r="CM62" s="1179"/>
    </row>
    <row r="63" spans="2:91">
      <c r="B63" s="169"/>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661"/>
      <c r="AR63" s="1161"/>
      <c r="AS63" s="1161"/>
      <c r="AT63" s="661"/>
      <c r="AU63" s="168"/>
      <c r="AV63" s="161"/>
      <c r="AW63" s="91">
        <v>130</v>
      </c>
      <c r="AX63" s="160">
        <f t="shared" si="96"/>
        <v>0</v>
      </c>
      <c r="AY63" s="160" t="e">
        <f t="shared" si="97"/>
        <v>#N/A</v>
      </c>
      <c r="AZ63" s="160">
        <f t="shared" si="111"/>
        <v>30</v>
      </c>
      <c r="BA63" s="91">
        <f t="shared" si="98"/>
        <v>0</v>
      </c>
      <c r="BB63" s="85" t="str">
        <f t="shared" si="99"/>
        <v/>
      </c>
      <c r="BC63" s="635" t="str">
        <f t="shared" si="119"/>
        <v/>
      </c>
      <c r="BD63" s="678" t="e">
        <f t="shared" si="115"/>
        <v>#VALUE!</v>
      </c>
      <c r="BE63" s="160" t="e">
        <f t="shared" si="101"/>
        <v>#N/A</v>
      </c>
      <c r="BF63" s="59"/>
      <c r="BG63" s="59"/>
      <c r="BH63" s="678" t="str">
        <f t="shared" si="116"/>
        <v/>
      </c>
      <c r="BI63" s="160" t="e">
        <f t="shared" si="103"/>
        <v>#N/A</v>
      </c>
      <c r="BJ63" s="59"/>
      <c r="BK63" s="59"/>
      <c r="BL63" s="678" t="str">
        <f t="shared" si="117"/>
        <v/>
      </c>
      <c r="BQ63" s="161"/>
      <c r="BR63" s="161"/>
      <c r="BS63" s="161"/>
      <c r="BT63" s="161"/>
      <c r="BU63" s="161"/>
      <c r="BV63" s="161"/>
      <c r="BW63" s="161"/>
      <c r="BX63" s="161"/>
      <c r="BY63" s="161"/>
      <c r="BZ63" s="161"/>
      <c r="CA63" s="161"/>
      <c r="CB63" s="161"/>
      <c r="CC63" s="161"/>
      <c r="CD63" s="161">
        <f>MATCH(0,CD51:CD59,1)</f>
        <v>6</v>
      </c>
      <c r="CE63" s="161">
        <f>MATCH(0,CE51:CE59,1)</f>
        <v>5</v>
      </c>
      <c r="CF63" s="161"/>
      <c r="CG63" s="161"/>
      <c r="CH63" s="161"/>
      <c r="CI63" s="161"/>
      <c r="CJ63" s="161"/>
      <c r="CK63" s="161"/>
      <c r="CL63" s="161"/>
      <c r="CM63" s="161"/>
    </row>
    <row r="64" spans="2:91">
      <c r="B64" s="169"/>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161"/>
      <c r="AS64" s="1161"/>
      <c r="AT64" s="161"/>
      <c r="AU64" s="168"/>
      <c r="AV64" s="161"/>
      <c r="AW64" s="91">
        <v>140</v>
      </c>
      <c r="AX64" s="160">
        <f t="shared" si="96"/>
        <v>0</v>
      </c>
      <c r="AY64" s="160" t="e">
        <f t="shared" si="97"/>
        <v>#N/A</v>
      </c>
      <c r="AZ64" s="160">
        <f t="shared" si="111"/>
        <v>30</v>
      </c>
      <c r="BA64" s="91">
        <f t="shared" si="98"/>
        <v>0</v>
      </c>
      <c r="BB64" s="85" t="str">
        <f t="shared" si="99"/>
        <v/>
      </c>
      <c r="BC64" s="635" t="str">
        <f t="shared" si="119"/>
        <v/>
      </c>
      <c r="BD64" s="678" t="e">
        <f t="shared" si="115"/>
        <v>#VALUE!</v>
      </c>
      <c r="BE64" s="160" t="e">
        <f t="shared" si="101"/>
        <v>#N/A</v>
      </c>
      <c r="BH64" s="678" t="str">
        <f t="shared" si="116"/>
        <v/>
      </c>
      <c r="BI64" s="160" t="e">
        <f t="shared" si="103"/>
        <v>#N/A</v>
      </c>
      <c r="BL64" s="678" t="str">
        <f t="shared" si="117"/>
        <v/>
      </c>
      <c r="BQ64" s="161"/>
      <c r="BR64" s="161"/>
      <c r="BS64" s="161"/>
      <c r="BT64" s="161"/>
      <c r="BU64" s="161"/>
      <c r="BV64" s="161"/>
      <c r="BW64" s="161"/>
      <c r="BX64" s="161"/>
      <c r="BY64" s="161"/>
      <c r="BZ64" s="161"/>
      <c r="CA64" s="161"/>
      <c r="CB64" s="161"/>
      <c r="CC64" s="161"/>
      <c r="CD64" s="161"/>
      <c r="CE64" s="161"/>
      <c r="CF64" s="161"/>
      <c r="CG64" s="161"/>
      <c r="CH64" s="161"/>
      <c r="CI64" s="161"/>
      <c r="CJ64" s="161"/>
      <c r="CK64" s="161"/>
      <c r="CL64" s="161"/>
      <c r="CM64" s="161"/>
    </row>
    <row r="65" spans="1:91" s="52" customFormat="1" ht="18.5">
      <c r="A65" s="324"/>
      <c r="B65" s="188" t="s">
        <v>515</v>
      </c>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c r="AQ65" s="194"/>
      <c r="AR65" s="194"/>
      <c r="AS65" s="194"/>
      <c r="AT65" s="194"/>
      <c r="AU65" s="107"/>
      <c r="AV65" s="194"/>
      <c r="AW65" s="91">
        <v>150</v>
      </c>
      <c r="AX65" s="160">
        <f t="shared" si="96"/>
        <v>0</v>
      </c>
      <c r="AY65" s="160" t="e">
        <f>VLOOKUP(AW65,BA$33:BB$44,2,FALSE)</f>
        <v>#N/A</v>
      </c>
      <c r="AZ65" s="160">
        <f t="shared" si="111"/>
        <v>30</v>
      </c>
      <c r="BA65" s="91">
        <f>ROUND(C65*10,0)*10</f>
        <v>0</v>
      </c>
      <c r="BB65" s="85" t="str">
        <f t="shared" si="99"/>
        <v/>
      </c>
      <c r="BC65" s="635" t="str">
        <f t="shared" si="119"/>
        <v/>
      </c>
      <c r="BD65" s="678" t="e">
        <f t="shared" si="115"/>
        <v>#VALUE!</v>
      </c>
      <c r="BH65" s="678" t="str">
        <f t="shared" si="116"/>
        <v/>
      </c>
      <c r="BL65" s="678" t="str">
        <f t="shared" si="117"/>
        <v/>
      </c>
      <c r="BQ65" s="194"/>
      <c r="BR65" s="194"/>
      <c r="BS65" s="194"/>
      <c r="BT65" s="194"/>
      <c r="BU65" s="194"/>
      <c r="BV65" s="194"/>
      <c r="BW65" s="194"/>
      <c r="BX65" s="194"/>
      <c r="BY65" s="194"/>
      <c r="BZ65" s="194"/>
      <c r="CA65" s="194"/>
      <c r="CB65" s="194"/>
      <c r="CC65" s="194"/>
      <c r="CD65" s="194"/>
      <c r="CE65" s="194"/>
      <c r="CF65" s="194"/>
      <c r="CG65" s="194"/>
      <c r="CH65" s="194"/>
      <c r="CI65" s="194"/>
      <c r="CJ65" s="194"/>
      <c r="CK65" s="194"/>
      <c r="CL65" s="194"/>
      <c r="CM65" s="194"/>
    </row>
    <row r="66" spans="1:91" ht="26.25" customHeight="1" thickBot="1">
      <c r="B66" s="108" t="str">
        <f>AD9</f>
        <v>Vertosol  101</v>
      </c>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8"/>
      <c r="AV66" s="161"/>
      <c r="AW66" s="91">
        <v>160</v>
      </c>
      <c r="AX66" s="160">
        <f t="shared" si="96"/>
        <v>0</v>
      </c>
      <c r="BB66" s="85" t="str">
        <f t="shared" si="99"/>
        <v/>
      </c>
      <c r="BC66" s="635" t="str">
        <f t="shared" si="119"/>
        <v/>
      </c>
      <c r="BD66" s="635" t="str">
        <f>IF(AND(ISNUMBER(BD65),SUM(BC66:BC72)=0,$AW66=100),BD65-BD64+BD65,IF(ISNUMBER(BC66),BC66,IF(AND(ISTEXT(BC66),$AZ66&gt;=10,$AZ66&lt;30),AVERAGE(BC65,BC67),IF(AND($AZ66=30,ISTEXT(BC66),ISTEXT(BC67)),((BC68-BC65)/3)+BC65,IF(AND($AZ66=30,ISTEXT(BC66),ISTEXT(BC65)),((BC67-BC64)/3)*2+BC64,IF(AND(ISTEXT(BC66),$AZ66&gt;30,$AZ66&lt;40),((BC67-BD65)/2)+BD65,IF(AND(ISTEXT(BC66),ISTEXT(BC67),$AZ66&gt;30),(AVERAGE(BC68:BC72)-BD65)/2+BD65,IF(AND(ISTEXT(BC66),ISTEXT(BC65),$AZ66&gt;=40),ABS(BD65-BC67)/2+MIN(BD65,BC67),""))))))))</f>
        <v/>
      </c>
      <c r="BQ66" s="161"/>
      <c r="BR66" s="161"/>
      <c r="BS66" s="161"/>
      <c r="BT66" s="161"/>
      <c r="BU66" s="161"/>
      <c r="BV66" s="161"/>
      <c r="BW66" s="161"/>
      <c r="BX66" s="161"/>
      <c r="BY66" s="161"/>
      <c r="BZ66" s="161"/>
      <c r="CA66" s="161"/>
      <c r="CB66" s="161"/>
      <c r="CC66" s="161"/>
      <c r="CD66" s="161"/>
      <c r="CE66" s="161"/>
      <c r="CF66" s="161"/>
      <c r="CG66" s="161"/>
      <c r="CH66" s="161"/>
      <c r="CI66" s="161"/>
      <c r="CJ66" s="161"/>
      <c r="CK66" s="161"/>
      <c r="CL66" s="161"/>
      <c r="CM66" s="161"/>
    </row>
    <row r="67" spans="1:91">
      <c r="B67" s="65" t="s">
        <v>465</v>
      </c>
      <c r="C67" s="66"/>
      <c r="D67" s="331"/>
      <c r="E67" s="1193" t="s">
        <v>874</v>
      </c>
      <c r="F67" s="1194"/>
      <c r="G67" s="1194"/>
      <c r="H67" s="1194"/>
      <c r="I67" s="1194"/>
      <c r="J67" s="1194"/>
      <c r="K67" s="1194"/>
      <c r="L67" s="1192"/>
      <c r="M67" s="1191" t="s">
        <v>568</v>
      </c>
      <c r="N67" s="1192"/>
      <c r="O67" s="1193" t="s">
        <v>875</v>
      </c>
      <c r="P67" s="1194"/>
      <c r="Q67" s="1194"/>
      <c r="R67" s="1192"/>
      <c r="S67" s="1193" t="s">
        <v>876</v>
      </c>
      <c r="T67" s="1194"/>
      <c r="U67" s="1194"/>
      <c r="V67" s="1194"/>
      <c r="W67" s="1194"/>
      <c r="X67" s="1194"/>
      <c r="Y67" s="1194"/>
      <c r="Z67" s="1194"/>
      <c r="AA67" s="1194"/>
      <c r="AB67" s="1195"/>
      <c r="AC67" s="1193" t="s">
        <v>546</v>
      </c>
      <c r="AD67" s="1192"/>
      <c r="AE67" s="1196" t="s">
        <v>972</v>
      </c>
      <c r="AF67" s="1197"/>
      <c r="AG67" s="1191" t="s">
        <v>547</v>
      </c>
      <c r="AH67" s="1192"/>
      <c r="AI67" s="1164" t="s">
        <v>631</v>
      </c>
      <c r="AJ67" s="1165"/>
      <c r="AK67" s="1165"/>
      <c r="AL67" s="1166"/>
      <c r="AM67" s="1164" t="s">
        <v>632</v>
      </c>
      <c r="AN67" s="1165"/>
      <c r="AO67" s="1165"/>
      <c r="AP67" s="1166"/>
      <c r="AQ67" s="626" t="s">
        <v>633</v>
      </c>
      <c r="AR67" s="1167" t="str">
        <f>IF($X$7="cm","Cumulative PAWC (cm/0.1m)",IF($X$7="mm","Cumulative PAWC (mm/0.1m)",""))</f>
        <v>Cumulative PAWC (mm/0.1m)</v>
      </c>
      <c r="AS67" s="1168"/>
      <c r="AT67" s="1169"/>
      <c r="AU67" s="109"/>
      <c r="AV67" s="243"/>
      <c r="AX67" s="59"/>
      <c r="AY67" s="63" t="s">
        <v>637</v>
      </c>
      <c r="AZ67" s="63"/>
      <c r="BA67" s="63"/>
      <c r="BB67" s="85" t="str">
        <f t="shared" si="99"/>
        <v/>
      </c>
      <c r="BC67" s="635" t="str">
        <f t="shared" si="119"/>
        <v/>
      </c>
      <c r="BD67" s="59"/>
      <c r="BE67" s="59"/>
      <c r="BF67" s="59"/>
      <c r="BG67" s="59"/>
      <c r="BH67" s="59"/>
      <c r="BI67" s="59"/>
      <c r="BJ67" s="59"/>
      <c r="BK67" s="59"/>
      <c r="BL67" s="59"/>
      <c r="BM67" s="59"/>
      <c r="BN67" s="59"/>
      <c r="BO67" s="59"/>
      <c r="BP67" s="59"/>
      <c r="BQ67" s="1199" t="s">
        <v>631</v>
      </c>
      <c r="BR67" s="1199"/>
      <c r="BS67" s="1199"/>
      <c r="BT67" s="1199"/>
      <c r="BU67" s="1199" t="s">
        <v>632</v>
      </c>
      <c r="BV67" s="1199"/>
      <c r="BW67" s="1199"/>
      <c r="BX67" s="1199"/>
      <c r="BY67" s="161"/>
      <c r="BZ67" s="161"/>
      <c r="CA67" s="161"/>
      <c r="CB67" s="161"/>
      <c r="CC67" s="161"/>
      <c r="CD67" s="161"/>
      <c r="CE67" s="161" t="s">
        <v>566</v>
      </c>
      <c r="CF67" s="161"/>
      <c r="CG67" s="161"/>
      <c r="CH67" s="161"/>
      <c r="CI67" s="161"/>
      <c r="CJ67" s="161"/>
      <c r="CK67" s="161"/>
      <c r="CL67" s="161"/>
      <c r="CM67" s="161"/>
    </row>
    <row r="68" spans="1:91">
      <c r="B68" s="361" t="s">
        <v>567</v>
      </c>
      <c r="C68" s="1052" t="s">
        <v>870</v>
      </c>
      <c r="D68" s="1022"/>
      <c r="E68" s="1198" t="s">
        <v>100</v>
      </c>
      <c r="F68" s="1172"/>
      <c r="G68" s="1172" t="s">
        <v>4</v>
      </c>
      <c r="H68" s="1172"/>
      <c r="I68" s="1172" t="s">
        <v>568</v>
      </c>
      <c r="J68" s="1172"/>
      <c r="K68" s="1172" t="s">
        <v>8</v>
      </c>
      <c r="L68" s="1200"/>
      <c r="M68" s="1201" t="s">
        <v>817</v>
      </c>
      <c r="N68" s="1202"/>
      <c r="O68" s="1198" t="s">
        <v>569</v>
      </c>
      <c r="P68" s="1172"/>
      <c r="Q68" s="1172" t="s">
        <v>4</v>
      </c>
      <c r="R68" s="1200"/>
      <c r="S68" s="1198" t="s">
        <v>100</v>
      </c>
      <c r="T68" s="1172"/>
      <c r="U68" s="1172" t="s">
        <v>570</v>
      </c>
      <c r="V68" s="1172"/>
      <c r="W68" s="1172" t="s">
        <v>568</v>
      </c>
      <c r="X68" s="1172"/>
      <c r="Y68" s="1172" t="s">
        <v>8</v>
      </c>
      <c r="Z68" s="1172"/>
      <c r="AA68" s="1172" t="s">
        <v>565</v>
      </c>
      <c r="AB68" s="1203"/>
      <c r="AC68" s="1198" t="s">
        <v>568</v>
      </c>
      <c r="AD68" s="1200"/>
      <c r="AE68" s="1198" t="s">
        <v>571</v>
      </c>
      <c r="AF68" s="1200"/>
      <c r="AG68" s="1204" t="str">
        <f>IF($X$7="cm","cm",IF($X$7="mm","mm",""))</f>
        <v>mm</v>
      </c>
      <c r="AH68" s="1200"/>
      <c r="AI68" s="411" t="s">
        <v>546</v>
      </c>
      <c r="AJ68" s="410" t="s">
        <v>103</v>
      </c>
      <c r="AK68" s="410" t="s">
        <v>104</v>
      </c>
      <c r="AL68" s="624" t="str">
        <f>IF($X$7="cm","PAWC (cm/0.1m)",IF($X$7="mm","PAWC (mm/0.1m)",""))</f>
        <v>PAWC (mm/0.1m)</v>
      </c>
      <c r="AM68" s="411" t="s">
        <v>628</v>
      </c>
      <c r="AN68" s="410" t="s">
        <v>629</v>
      </c>
      <c r="AO68" s="410" t="s">
        <v>104</v>
      </c>
      <c r="AP68" s="624" t="str">
        <f>IF($X$7="cm","PAWC (cm/0.1m)",IF($X$7="mm","PAWC (mm/0.1m)",""))</f>
        <v>PAWC (mm/0.1m)</v>
      </c>
      <c r="AQ68" s="332" t="s">
        <v>636</v>
      </c>
      <c r="AR68" s="623" t="s">
        <v>634</v>
      </c>
      <c r="AS68" s="623" t="s">
        <v>635</v>
      </c>
      <c r="AT68" s="624" t="s">
        <v>632</v>
      </c>
      <c r="AU68" s="110"/>
      <c r="AV68" s="252"/>
      <c r="AX68" s="59"/>
      <c r="AY68" s="59"/>
      <c r="AZ68" s="59" t="s">
        <v>639</v>
      </c>
      <c r="BA68" s="59" t="s">
        <v>638</v>
      </c>
      <c r="BB68" s="59" t="s">
        <v>634</v>
      </c>
      <c r="BC68" s="59"/>
      <c r="BD68" s="59"/>
      <c r="BE68" s="59" t="s">
        <v>641</v>
      </c>
      <c r="BF68" s="59" t="s">
        <v>640</v>
      </c>
      <c r="BG68" s="59"/>
      <c r="BH68" s="59"/>
      <c r="BI68" s="59" t="s">
        <v>641</v>
      </c>
      <c r="BJ68" s="59" t="s">
        <v>632</v>
      </c>
      <c r="BK68" s="59"/>
      <c r="BL68" s="59"/>
      <c r="BM68" s="59"/>
      <c r="BN68" s="59" t="s">
        <v>634</v>
      </c>
      <c r="BO68" s="59" t="s">
        <v>640</v>
      </c>
      <c r="BP68" s="59" t="s">
        <v>632</v>
      </c>
      <c r="BQ68" s="237" t="s">
        <v>546</v>
      </c>
      <c r="BR68" s="237" t="s">
        <v>103</v>
      </c>
      <c r="BS68" s="237" t="s">
        <v>104</v>
      </c>
      <c r="BT68" s="237" t="s">
        <v>547</v>
      </c>
      <c r="BU68" s="237" t="s">
        <v>628</v>
      </c>
      <c r="BV68" s="237" t="s">
        <v>629</v>
      </c>
      <c r="BW68" s="237" t="s">
        <v>104</v>
      </c>
      <c r="BX68" s="237" t="s">
        <v>547</v>
      </c>
      <c r="BY68" s="161"/>
      <c r="BZ68" s="161"/>
      <c r="CA68" s="161"/>
      <c r="CB68" s="161"/>
      <c r="CC68" s="161"/>
      <c r="CD68" s="161" t="s">
        <v>1511</v>
      </c>
      <c r="CE68" s="161"/>
      <c r="CF68" s="161"/>
      <c r="CG68" s="161"/>
      <c r="CH68" s="1199" t="s">
        <v>4</v>
      </c>
      <c r="CI68" s="1199"/>
      <c r="CJ68" s="1199" t="s">
        <v>568</v>
      </c>
      <c r="CK68" s="1199"/>
      <c r="CL68" s="1199" t="s">
        <v>8</v>
      </c>
      <c r="CM68" s="1199"/>
    </row>
    <row r="69" spans="1:91">
      <c r="B69" s="247">
        <v>1</v>
      </c>
      <c r="C69" s="1025">
        <f>AE12</f>
        <v>0.1</v>
      </c>
      <c r="D69" s="1178"/>
      <c r="E69" s="1029" t="str">
        <f t="shared" ref="E69:E80" si="120">AL12</f>
        <v/>
      </c>
      <c r="F69" s="1025"/>
      <c r="G69" s="1170">
        <f t="shared" ref="G69:G80" si="121">IF(CH69&lt;0.5,0.5,CH69)</f>
        <v>3.875</v>
      </c>
      <c r="H69" s="1170"/>
      <c r="I69" s="1170">
        <f t="shared" ref="I69:I80" si="122">IF(CJ69&lt;0.5,0.5,CJ69)</f>
        <v>3.5019999999999998</v>
      </c>
      <c r="J69" s="1170"/>
      <c r="K69" s="1170">
        <f t="shared" ref="K69:K80" si="123">IF(CL69&lt;0.5,0.5,CL69)</f>
        <v>3.2190682760247968</v>
      </c>
      <c r="L69" s="1171"/>
      <c r="M69" s="1175">
        <f t="shared" ref="M69:M80" si="124">AM12</f>
        <v>11.6</v>
      </c>
      <c r="N69" s="1026"/>
      <c r="O69" s="1176" t="str">
        <f t="shared" ref="O69:O80" si="125">IF(ISNUMBER(AL12),(30.34+6.57*AL12),"")</f>
        <v/>
      </c>
      <c r="P69" s="1170"/>
      <c r="Q69" s="1170">
        <f t="shared" ref="Q69:Q80" si="126">IF(ISNUMBER(AG12),(33.21+1.03*AG12),"")</f>
        <v>50.617000000000004</v>
      </c>
      <c r="R69" s="1171"/>
      <c r="S69" s="1176" t="str">
        <f t="shared" ref="S69:S80" si="127">IF(ISNUMBER(AL12),(8.04+3.08*AL12),"")</f>
        <v/>
      </c>
      <c r="T69" s="1170"/>
      <c r="U69" s="1170">
        <f t="shared" ref="U69:U80" si="128">IF(ISNUMBER(AG12),(12.18+0.43*AG12),"")</f>
        <v>19.446999999999999</v>
      </c>
      <c r="V69" s="1170"/>
      <c r="W69" s="1170">
        <f t="shared" ref="W69:W80" si="129">IF(ISNUMBER(AM12),(5.48+1.23*(AM12)),"")</f>
        <v>19.747999999999998</v>
      </c>
      <c r="X69" s="1170"/>
      <c r="Y69" s="1170">
        <f t="shared" ref="Y69:Y80" si="130">IF(ISNUMBER(AF12),(2.6+0.057*AF12)^2,"")</f>
        <v>18.576100000000004</v>
      </c>
      <c r="Z69" s="1170"/>
      <c r="AA69" s="1170">
        <f t="shared" ref="AA69:AA80" si="131">IF(ISNUMBER(C69),AVERAGE(S69:Y69),"")</f>
        <v>19.257033333333332</v>
      </c>
      <c r="AB69" s="1184"/>
      <c r="AC69" s="1029">
        <f t="shared" ref="AC69:AC80" si="132">M69</f>
        <v>11.6</v>
      </c>
      <c r="AD69" s="1026"/>
      <c r="AE69" s="1180">
        <f t="shared" ref="AE69:AE80" si="133">IF(ISNUMBER(C69),((0.852+0.0012*AF12)*1000)/(0.3774+AA69/100),"")</f>
        <v>1557.9758244727357</v>
      </c>
      <c r="AF69" s="1181"/>
      <c r="AG69" s="1177">
        <f t="shared" ref="AG69:AG80" si="134">IF(ISNUMBER(C69),IF(AND(ISNUMBER(BB69),B69&lt;=CE$81),IF($X$7="cm",BB69,IF($X$7="mm",BB69*10,"")),""),"")</f>
        <v>11.929472820515219</v>
      </c>
      <c r="AH69" s="1171"/>
      <c r="AI69" s="420">
        <f>IF(ISNUMBER($C69),IF(AND(ISNUMBER(BQ69),$B69&lt;=$CE$81),BQ69,""),"")</f>
        <v>10.122639999999999</v>
      </c>
      <c r="AJ69" s="418">
        <f>IF(ISNUMBER($C69),IF(AND(ISNUMBER(BR69),$B69&lt;=$CE$81),BR69,""),"")</f>
        <v>24.804399999999998</v>
      </c>
      <c r="AK69" s="92">
        <f>IF(ISNUMBER($C69),IF(AND(ISNUMBER(BS69),$B69&lt;=$CE$81),BS69,""),"")</f>
        <v>1419.7913802035034</v>
      </c>
      <c r="AL69" s="630">
        <f t="shared" ref="AL69:AL80" si="135">IF(ISNUMBER($C69),IF(AND(ISNUMBER(BT69),$B69&lt;=$CE$81),IF($X$7="cm",BT69,IF($X$7="mm",BT69*10,"")),""),"")</f>
        <v>20.845036294216584</v>
      </c>
      <c r="AM69" s="655">
        <f t="shared" ref="AM69:AM75" si="136">IF(ISNUMBER($C69),IF(AND(ISNUMBER(BU69),$B69&lt;=$CD$45),BU69,""),"")</f>
        <v>12.759119999999999</v>
      </c>
      <c r="AN69" s="653">
        <f>IF(ISNUMBER($C69),IF(AND(ISNUMBER(BV69),$B69&lt;=$CD$45),BV69,""),"")</f>
        <v>23.135205548084144</v>
      </c>
      <c r="AO69" s="92">
        <f>IF(ISNUMBER($C69),IF(AND(ISNUMBER(BW69),$B69&lt;=$CD$45),BW69,""),"")</f>
        <v>1458.7219739218556</v>
      </c>
      <c r="AP69" s="654">
        <f>IF(ISNUMBER($C69),IF(AND(ISNUMBER(BX69),$B69&lt;=$CD$45),IF($X$7="cm",BX69,IF($X$7="mm",BX69*10,"")),""),"")</f>
        <v>15.135823992283344</v>
      </c>
      <c r="AQ69" s="625">
        <v>0.1</v>
      </c>
      <c r="AR69" s="629">
        <f>IF(AND(ISNUMBER(BN69),$X$7="cm"),BN69,IF(AND(ISNUMBER(BN69),$X$7="mm"),BN69*10,""))</f>
        <v>11.929472820515219</v>
      </c>
      <c r="AS69" s="629">
        <f t="shared" ref="AS69:AS78" si="137">IF(AND(ISNUMBER(BO69),$X$7="cm"),BO69,IF(AND(ISNUMBER(BO69),$X$7="mm"),BO69*10,""))</f>
        <v>20.845036294216584</v>
      </c>
      <c r="AT69" s="630">
        <f t="shared" ref="AT69:AT80" si="138">IF(AND(ISNUMBER(BP69),$X$7="cm"),BP69,IF(AND(ISNUMBER(BP69),$X$7="mm"),BP69*10,""))</f>
        <v>15.135823992283344</v>
      </c>
      <c r="AU69" s="111"/>
      <c r="AV69" s="338"/>
      <c r="AW69" s="91">
        <v>10</v>
      </c>
      <c r="AX69" s="160">
        <f>C69*100</f>
        <v>10</v>
      </c>
      <c r="AY69" s="59">
        <f>VLOOKUP(AW69,BA$69:BB$80,2,FALSE)</f>
        <v>1.1929472820515219</v>
      </c>
      <c r="AZ69" s="160">
        <f>IF(ISNUMBER(C69),C69*100-10,"")</f>
        <v>0</v>
      </c>
      <c r="BA69" s="91">
        <f>ROUND(C69*10,0)*10</f>
        <v>10</v>
      </c>
      <c r="BB69" s="85">
        <f>IF(AND(ISNUMBER(C69),ISNUMBER(M69)),(((AA69/100)-(AC69/100))*(AE69/1000*10)),"")</f>
        <v>1.1929472820515219</v>
      </c>
      <c r="BC69" s="59">
        <f>IF(ISNUMBER(AY69),AY69,"")</f>
        <v>1.1929472820515219</v>
      </c>
      <c r="BD69" s="678">
        <f>IF(AND(ISNUMBER(BD68),SUM(BC69:BC75)=0,$AW69=100),BD68-BD67+BD68,IF(ISNUMBER(BC69),BC69,IF(AND(ISTEXT(BC69),$AZ69&gt;=10,$AZ69&lt;30),AVERAGE(BC68,BC70),IF(AND($AZ69=30,ISTEXT(BC69),ISNUMBER(BC68),ISNUMBER(BC70)),AVERAGE(BC68,BC70),IF(AND($AZ69=30,ISTEXT(BC69),ISTEXT(BC70)),((BC71-BC68)/3)+BC68,IF(AND($AZ69=30,ISTEXT(BC69),ISTEXT(BC68)),((BC70-BC67)/3)*2+BC67,IF(AND(ISTEXT(BC69),$AZ69&gt;30,$AZ69&lt;40),((BC70-BD68)/2)+BD68,IF(AND(ISTEXT(BC69),ISTEXT(BC70),$AZ69&gt;30),(AVERAGE(BC71:BC75)-BD68)/2+BD68,IF(AND(ISTEXT(BC69),ISTEXT(BC68),$AZ69&gt;=40),ABS(BD68-BC70)/2+MIN(BD68,BC70),"")))))))))</f>
        <v>1.1929472820515219</v>
      </c>
      <c r="BE69" s="59">
        <f t="shared" ref="BE69:BE84" si="139">VLOOKUP(AW69,BA$69:BF$80,6,FALSE)</f>
        <v>2.0845036294216586</v>
      </c>
      <c r="BF69" s="67">
        <f>BT69</f>
        <v>2.0845036294216586</v>
      </c>
      <c r="BG69" s="59">
        <f>IF(ISNUMBER(BE69),BE69,"")</f>
        <v>2.0845036294216586</v>
      </c>
      <c r="BH69" s="678">
        <f>IF(AND(ISNUMBER(BH68),SUM(BG69:BG75)=0,$AW69=100),BH68-BH67+BH68,IF(ISNUMBER(BG69),BG69,IF(AND(ISTEXT(BG69),$AZ69&gt;=10,$AZ69&lt;30),AVERAGE(BG68,BG70),IF(AND($AZ69=30,ISTEXT(BG69),ISNUMBER(BG68),ISNUMBER(BG70)),AVERAGE(BG68,BG70),IF(AND($AZ69=30,ISTEXT(BG69),ISTEXT(BG70)),((BG71-BG68)/3)+BG68,IF(AND($AZ69=30,ISTEXT(BG69),ISTEXT(BG68)),((BG70-BG67)/3)*2+BG67,IF(AND(ISTEXT(BG69),$AZ69&gt;30,$AZ69&lt;40),((BG70-BH68)/2)+BH68,IF(AND(ISTEXT(BG69),ISTEXT(BG70),$AZ69&gt;30),(AVERAGE(BG71:BG75)-BH68)/2+BH68,IF(AND(ISTEXT(BG69),ISTEXT(BG68),$AZ69&gt;=40),ABS(BH68-BG70)/2+MIN(BH68,BG70),"")))))))))</f>
        <v>2.0845036294216586</v>
      </c>
      <c r="BI69" s="59">
        <f>VLOOKUP(AW69,BA$69:BJ$85,10,FALSE)</f>
        <v>1.5135823992283344</v>
      </c>
      <c r="BJ69" s="67">
        <f>BX69</f>
        <v>1.5135823992283344</v>
      </c>
      <c r="BK69" s="59">
        <f>IF(ISNUMBER(BI69),BI69,"")</f>
        <v>1.5135823992283344</v>
      </c>
      <c r="BL69" s="678">
        <f>IF(AND(ISNUMBER(BL68),SUM(BK69:BK75)=0,$AW69=100),BL68-BL67+BL68,IF(ISNUMBER(BK69),BK69,IF(AND(ISTEXT(BK69),$AZ69&gt;=10,$AZ69&lt;30),AVERAGE(BK68,BK70),IF(AND($AZ69=30,ISTEXT(BK69),ISNUMBER(BK68),ISNUMBER(BK70)),AVERAGE(BK68,BK70),IF(AND($AZ69=30,ISTEXT(BK69),ISTEXT(BK70)),((BK71-BK68)/3)+BK68,IF(AND($AZ69=30,ISTEXT(BK69),ISTEXT(BK68)),((BK70-BK67)/3)*2+BK67,IF(AND(ISTEXT(BK69),$AZ69&gt;30,$AZ69&lt;40),((BK70-BL68)/2)+BL68,IF(AND(ISTEXT(BK69),ISTEXT(BK70),$AZ69&gt;30),(AVERAGE(BK71:BK75)-BL68)/2+BL68,IF(AND(ISTEXT(BK69),ISTEXT(BK68),$AZ69&gt;=40),ABS(BL68-BK70)/2+MIN(BL68,BK70),"")))))))))</f>
        <v>1.5135823992283344</v>
      </c>
      <c r="BM69" s="59"/>
      <c r="BN69" s="85">
        <f>IF(ISNUMBER(BD69),BD69,"")</f>
        <v>1.1929472820515219</v>
      </c>
      <c r="BO69" s="59">
        <f>BH69</f>
        <v>2.0845036294216586</v>
      </c>
      <c r="BP69" s="59">
        <f>BL69</f>
        <v>1.5135823992283344</v>
      </c>
      <c r="BQ69" s="185">
        <f>IF(AND(ISNUMBER(C69),ISNUMBER(M69)),(-0.0176+0.022*(C69)+1.0054*M69/100)*100,"")</f>
        <v>10.122639999999999</v>
      </c>
      <c r="BR69" s="185">
        <f>IF(AND(ISNUMBER(C69),ISNUMBER(M69)),(0.124-0.265*(C69)+0.16*((C69)^2)+1.284*M69/100)*100,"")</f>
        <v>24.804399999999998</v>
      </c>
      <c r="BS69" s="114">
        <f t="shared" ref="BS69:BS80" si="140">IF(AND(ISNUMBER(C69),ISNUMBER(BR69)),((0.852+0.0012*AF12)*1000)/(0.3774+BR69/100),"")</f>
        <v>1419.7913802035034</v>
      </c>
      <c r="BT69" s="185">
        <f>IF(ISNUMBER(BS69),((BR69/100)-(BQ69/100))*(BS69/1000*10),"")</f>
        <v>2.0845036294216586</v>
      </c>
      <c r="BU69" s="185">
        <f t="shared" ref="BU69:BU80" si="141">IF(AND(ISNUMBER(C69),ISNUMBER(M69)),(100*(-2.41+0.0566*AF12)*(-0.0176+0.022*(C69))+1.0054*(M69)),"")</f>
        <v>12.759119999999999</v>
      </c>
      <c r="BV69" s="185">
        <f t="shared" ref="BV69:BV80" si="142">IF(AND(ISNUMBER(C69),ISNUMBER(M69)),((0.995+0.0011*BI12)*13.2*EXP(-2.845*(C69))+(1.0054+0.0041*AF12)*M69),"")</f>
        <v>23.135205548084144</v>
      </c>
      <c r="BW69" s="114">
        <f t="shared" ref="BW69:BW80" si="143">IF(AND(ISNUMBER(C69),ISNUMBER(BV69)),((0.852+0.0012*AF12)*1000)/(0.3774+BV69/100),"")</f>
        <v>1458.7219739218556</v>
      </c>
      <c r="BX69" s="185">
        <f>IF(ISNUMBER(BW69),((BV69-BU69)/100*BW69)/1000*10,"")</f>
        <v>1.5135823992283344</v>
      </c>
      <c r="BY69" s="161"/>
      <c r="BZ69" s="161"/>
      <c r="CA69" s="161"/>
      <c r="CB69" s="161"/>
      <c r="CC69" s="161"/>
      <c r="CD69" s="161">
        <f>IF(ISNUMBER(C69),C69*100-120,"")</f>
        <v>-110</v>
      </c>
      <c r="CE69" s="161">
        <f>IF(ISNUMBER(C69),C69*100-100,"")</f>
        <v>-90</v>
      </c>
      <c r="CF69" s="161"/>
      <c r="CG69" s="161"/>
      <c r="CH69" s="1179">
        <f t="shared" ref="CH69:CH80" si="144">IF(ISNUMBER(AG12),(1.34+0.15*AG12),"")</f>
        <v>3.875</v>
      </c>
      <c r="CI69" s="1179"/>
      <c r="CJ69" s="1179">
        <f t="shared" ref="CJ69:CJ80" si="145">IF(ISNUMBER(AM12),(-1.37+0.42*(AM12)),"")</f>
        <v>3.5019999999999998</v>
      </c>
      <c r="CK69" s="1179"/>
      <c r="CL69" s="1179">
        <f t="shared" ref="CL69:CL80" si="146">IF(ISNUMBER(AF12),(0.59+0.016*(AF12^1.5)),"")</f>
        <v>3.2190682760247968</v>
      </c>
      <c r="CM69" s="1179"/>
    </row>
    <row r="70" spans="1:91">
      <c r="B70" s="247">
        <v>2</v>
      </c>
      <c r="C70" s="1025">
        <f>AE13</f>
        <v>0.2</v>
      </c>
      <c r="D70" s="1178"/>
      <c r="E70" s="1029" t="str">
        <f t="shared" si="120"/>
        <v/>
      </c>
      <c r="F70" s="1025"/>
      <c r="G70" s="1170">
        <f t="shared" si="121"/>
        <v>5.3149999999999995</v>
      </c>
      <c r="H70" s="1170"/>
      <c r="I70" s="1170">
        <f t="shared" si="122"/>
        <v>5.8959999999999999</v>
      </c>
      <c r="J70" s="1170"/>
      <c r="K70" s="1170">
        <f t="shared" si="123"/>
        <v>6.2468542494923778</v>
      </c>
      <c r="L70" s="1171"/>
      <c r="M70" s="1175">
        <f t="shared" si="124"/>
        <v>17.3</v>
      </c>
      <c r="N70" s="1026"/>
      <c r="O70" s="1176" t="str">
        <f t="shared" si="125"/>
        <v/>
      </c>
      <c r="P70" s="1170"/>
      <c r="Q70" s="1170">
        <f t="shared" si="126"/>
        <v>60.505000000000003</v>
      </c>
      <c r="R70" s="1171"/>
      <c r="S70" s="1176" t="str">
        <f t="shared" si="127"/>
        <v/>
      </c>
      <c r="T70" s="1170"/>
      <c r="U70" s="1170">
        <f t="shared" si="128"/>
        <v>23.574999999999999</v>
      </c>
      <c r="V70" s="1170"/>
      <c r="W70" s="1170">
        <f t="shared" si="129"/>
        <v>26.759</v>
      </c>
      <c r="X70" s="1170"/>
      <c r="Y70" s="1170">
        <f t="shared" si="130"/>
        <v>29.702500000000001</v>
      </c>
      <c r="Z70" s="1170"/>
      <c r="AA70" s="1170">
        <f t="shared" si="131"/>
        <v>26.678833333333333</v>
      </c>
      <c r="AB70" s="1184"/>
      <c r="AC70" s="1029">
        <f t="shared" si="132"/>
        <v>17.3</v>
      </c>
      <c r="AD70" s="1026"/>
      <c r="AE70" s="1180">
        <f t="shared" si="133"/>
        <v>1415.7350464279336</v>
      </c>
      <c r="AF70" s="1181"/>
      <c r="AG70" s="1177">
        <f t="shared" si="134"/>
        <v>13.277943044606516</v>
      </c>
      <c r="AH70" s="1171"/>
      <c r="AI70" s="420">
        <f t="shared" ref="AI70:AI80" si="147">IF(ISNUMBER($C70),IF(AND(ISNUMBER(BQ70),$B70&lt;=$CE$81),BQ70,""),"")</f>
        <v>16.073420000000006</v>
      </c>
      <c r="AJ70" s="418">
        <f t="shared" ref="AJ70:AJ80" si="148">IF(ISNUMBER($C70),IF(AND(ISNUMBER(BR70),$B70&lt;=$CE$81),BR70,""),"")</f>
        <v>29.953200000000002</v>
      </c>
      <c r="AK70" s="92">
        <f t="shared" ref="AK70:AK80" si="149">IF(ISNUMBER($C70),IF(AND(ISNUMBER(BS70),$B70&lt;=$CE$81),BS70,""),"")</f>
        <v>1347.2549680026941</v>
      </c>
      <c r="AL70" s="630">
        <f t="shared" si="135"/>
        <v>18.699602559784431</v>
      </c>
      <c r="AM70" s="655">
        <f t="shared" si="136"/>
        <v>16.839020000000001</v>
      </c>
      <c r="AN70" s="653">
        <f t="shared" ref="AN70:AN75" si="150">IF(ISNUMBER($C70),IF(AND(ISNUMBER(BV70),$B70&lt;=$CD$45),BV70,""),"")</f>
        <v>28.498257111630966</v>
      </c>
      <c r="AO70" s="92">
        <f t="shared" ref="AO70:AO75" si="151">IF(ISNUMBER($C70),IF(AND(ISNUMBER(BW70),$B70&lt;=$CD$45),BW70,""),"")</f>
        <v>1376.847821438012</v>
      </c>
      <c r="AP70" s="654">
        <f t="shared" ref="AP70:AP75" si="152">IF(ISNUMBER($C70),IF(AND(ISNUMBER(BX70),$B70&lt;=$CD$45),IF($X$7="cm",BX70,IF($X$7="mm",BX70*10,"")),""),"")</f>
        <v>16.052995216778314</v>
      </c>
      <c r="AQ70" s="625">
        <v>0.2</v>
      </c>
      <c r="AR70" s="629">
        <f t="shared" ref="AR70:AR78" si="153">IF(AND(ISNUMBER(BN70),$X$7="cm"),BN70,IF(AND(ISNUMBER(BN70),$X$7="mm"),BN70*10,""))</f>
        <v>25.207415865121735</v>
      </c>
      <c r="AS70" s="629">
        <f t="shared" si="137"/>
        <v>39.544638854001015</v>
      </c>
      <c r="AT70" s="630">
        <f t="shared" si="138"/>
        <v>31.188819209061656</v>
      </c>
      <c r="AU70" s="111"/>
      <c r="AV70" s="338"/>
      <c r="AW70" s="91">
        <v>20</v>
      </c>
      <c r="AX70" s="160">
        <f t="shared" ref="AX70:AX84" si="154">C70*100</f>
        <v>20</v>
      </c>
      <c r="AY70" s="59">
        <f t="shared" ref="AY70:AY84" si="155">VLOOKUP(AW70,BA$69:BB$80,2,FALSE)</f>
        <v>1.3277943044606517</v>
      </c>
      <c r="AZ70" s="160">
        <f>IF(AND(ISNUMBER(C70),ISNUMBER(C69)),C70*100-C69*100,AZ69)</f>
        <v>10</v>
      </c>
      <c r="BA70" s="91">
        <f t="shared" ref="BA70:BA82" si="156">ROUND(C70*10,0)*10</f>
        <v>20</v>
      </c>
      <c r="BB70" s="85">
        <f t="shared" ref="BB70:BB81" si="157">IF(AND(ISNUMBER(C70),ISNUMBER(M70)),(((AA70/100)-(AC70/100))*(AE70/1000*10)),"")</f>
        <v>1.3277943044606517</v>
      </c>
      <c r="BC70" s="59">
        <f t="shared" ref="BC70:BC76" si="158">IF(ISNUMBER(AY70),AY70,"")</f>
        <v>1.3277943044606517</v>
      </c>
      <c r="BD70" s="678">
        <f>IF(AND(ISNUMBER(BD69),SUM(BC70:BC76)=0,$AW70=100),BD69-BD68+BD69,IF(ISNUMBER(BC70),BC70,IF(AND(ISTEXT(BC70),$AZ70&gt;=10,$AZ70&lt;30),AVERAGE(BC69,BC71),IF(AND($AZ70=30,ISTEXT(BC70),ISNUMBER(BC69),ISNUMBER(BC71)),AVERAGE(BC69,BC71),IF(AND($AZ70=30,ISTEXT(BC70),ISTEXT(BC71)),((BC72-BC69)/3)+BC69,IF(AND($AZ70=30,ISTEXT(BC70),ISTEXT(BC69)),((BC71-BC68)/3)*2+BC68,IF(AND(ISTEXT(BC70),$AZ70&gt;30,$AZ70&lt;40),((BC71-BD69)/2)+BD69,IF(AND(ISTEXT(BC70),ISTEXT(BC71),$AZ70&gt;30),(AVERAGE(BC72:BC76)-BD69)/2+BD69,IF(AND(ISTEXT(BC70),ISTEXT(BC69),$AZ70&gt;=40),ABS(BD69-BC71)/2+MIN(BD69,BC71),"")))))))))</f>
        <v>1.3277943044606517</v>
      </c>
      <c r="BE70" s="59">
        <f t="shared" si="139"/>
        <v>1.8699602559784432</v>
      </c>
      <c r="BF70" s="67">
        <f t="shared" ref="BF70:BF80" si="159">BT70</f>
        <v>1.8699602559784432</v>
      </c>
      <c r="BG70" s="59">
        <f t="shared" ref="BG70:BG80" si="160">IF(ISNUMBER(BE70),BE70,"")</f>
        <v>1.8699602559784432</v>
      </c>
      <c r="BH70" s="678">
        <f>IF(AND(ISNUMBER(BH69),SUM(BG70:BG76)=0,$AW70=100),BH69-BH68+BH69,IF(ISNUMBER(BG70),BG70,IF(AND(ISTEXT(BG70),$AZ70&gt;=10,$AZ70&lt;30),AVERAGE(BG69,BG71),IF(AND($AZ70=30,ISTEXT(BG70),ISNUMBER(BG69),ISNUMBER(BG71)),AVERAGE(BG69,BG71),IF(AND($AZ70=30,ISTEXT(BG70),ISTEXT(BG71)),((BG72-BG69)/3)+BG69,IF(AND($AZ70=30,ISTEXT(BG70),ISTEXT(BG69)),((BG71-BG68)/3)*2+BG68,IF(AND(ISTEXT(BG70),$AZ70&gt;30,$AZ70&lt;40),((BG71-BH69)/2)+BH69,IF(AND(ISTEXT(BG70),ISTEXT(BG71),$AZ70&gt;30),(AVERAGE(BG72:BG76)-BH69)/2+BH69,IF(AND(ISTEXT(BG70),ISTEXT(BG69),$AZ70&gt;=40),ABS(BH69-BG71)/2+MIN(BH69,BG71),"")))))))))</f>
        <v>1.8699602559784432</v>
      </c>
      <c r="BI70" s="59">
        <f t="shared" ref="BI70:BI85" si="161">VLOOKUP(AW70,BA$69:BJ$85,10,FALSE)</f>
        <v>1.6052995216778312</v>
      </c>
      <c r="BJ70" s="67">
        <f t="shared" ref="BJ70:BJ80" si="162">BX70</f>
        <v>1.6052995216778312</v>
      </c>
      <c r="BK70" s="59">
        <f t="shared" ref="BK70:BK80" si="163">IF(ISNUMBER(BI70),BI70,"")</f>
        <v>1.6052995216778312</v>
      </c>
      <c r="BL70" s="678">
        <f>IF(AND(ISNUMBER(BL69),SUM(BK70:BK76)=0,$AW70=100),BL69-BL68+BL69,IF(ISNUMBER(BK70),BK70,IF(AND(ISTEXT(BK70),$AZ70&gt;=10,$AZ70&lt;30),AVERAGE(BK69,BK71),IF(AND($AZ70=30,ISTEXT(BK70),ISNUMBER(BK69),ISNUMBER(BK71)),AVERAGE(BK69,BK71),IF(AND($AZ70=30,ISTEXT(BK70),ISTEXT(BK71)),((BK72-BK69)/3)+BK69,IF(AND($AZ70=30,ISTEXT(BK70),ISTEXT(BK69)),((BK71-BK68)/3)*2+BK68,IF(AND(ISTEXT(BK70),$AZ70&gt;30,$AZ70&lt;40),((BK71-BL69)/2)+BL69,IF(AND(ISTEXT(BK70),ISTEXT(BK71),$AZ70&gt;30),(AVERAGE(BK72:BK76)-BL69)/2+BL69,IF(AND(ISTEXT(BK70),ISTEXT(BK69),$AZ70&gt;=40),ABS(BL69-BK71)/2+MIN(BL69,BK71),"")))))))))</f>
        <v>1.6052995216778312</v>
      </c>
      <c r="BM70" s="59"/>
      <c r="BN70" s="85">
        <f>BN69+BD70</f>
        <v>2.5207415865121736</v>
      </c>
      <c r="BO70" s="59">
        <f>BO69+BH70</f>
        <v>3.9544638854001017</v>
      </c>
      <c r="BP70" s="59">
        <f>BP69+BL70</f>
        <v>3.1188819209061656</v>
      </c>
      <c r="BQ70" s="185">
        <f t="shared" ref="BQ70:BQ80" si="164">IF(AND(ISNUMBER(C70),ISNUMBER(M70)),(-0.0176+0.022*(C70)+1.0054*M70/100)*100,"")</f>
        <v>16.073420000000006</v>
      </c>
      <c r="BR70" s="185">
        <f t="shared" ref="BR70:BR80" si="165">IF(AND(ISNUMBER(C70),ISNUMBER(M70)),(0.124-0.265*(C70)+0.16*((C70)^2)+1.284*M70/100)*100,"")</f>
        <v>29.953200000000002</v>
      </c>
      <c r="BS70" s="114">
        <f t="shared" si="140"/>
        <v>1347.2549680026941</v>
      </c>
      <c r="BT70" s="185">
        <f t="shared" ref="BT70:BT80" si="166">IF(ISNUMBER(BS70),((BR70/100)-(BQ70/100))*(BS70/1000*10),"")</f>
        <v>1.8699602559784432</v>
      </c>
      <c r="BU70" s="185">
        <f t="shared" si="141"/>
        <v>16.839020000000001</v>
      </c>
      <c r="BV70" s="185">
        <f t="shared" si="142"/>
        <v>28.498257111630966</v>
      </c>
      <c r="BW70" s="114">
        <f t="shared" si="143"/>
        <v>1376.847821438012</v>
      </c>
      <c r="BX70" s="185">
        <f t="shared" ref="BX70:BX80" si="167">IF(ISNUMBER(BW70),((BV70-BU70)/100*BW70)/1000*10,"")</f>
        <v>1.6052995216778312</v>
      </c>
      <c r="BY70" s="161"/>
      <c r="BZ70" s="161"/>
      <c r="CA70" s="161"/>
      <c r="CB70" s="161"/>
      <c r="CC70" s="161"/>
      <c r="CD70" s="161">
        <f t="shared" ref="CD70:CD79" si="168">IF(ISNUMBER(C70),C70*100-120,"")</f>
        <v>-100</v>
      </c>
      <c r="CE70" s="161">
        <f t="shared" ref="CE70:CE80" si="169">IF(ISNUMBER(C70),C70*100-100,"")</f>
        <v>-80</v>
      </c>
      <c r="CF70" s="161"/>
      <c r="CG70" s="161"/>
      <c r="CH70" s="1179">
        <f t="shared" si="144"/>
        <v>5.3149999999999995</v>
      </c>
      <c r="CI70" s="1179"/>
      <c r="CJ70" s="1179">
        <f t="shared" si="145"/>
        <v>5.8959999999999999</v>
      </c>
      <c r="CK70" s="1179"/>
      <c r="CL70" s="1179">
        <f t="shared" si="146"/>
        <v>6.2468542494923778</v>
      </c>
      <c r="CM70" s="1179"/>
    </row>
    <row r="71" spans="1:91">
      <c r="B71" s="247">
        <v>3</v>
      </c>
      <c r="C71" s="1025">
        <f t="shared" ref="C71:C78" si="170">AE14</f>
        <v>0.3</v>
      </c>
      <c r="D71" s="1178"/>
      <c r="E71" s="1029" t="str">
        <f t="shared" si="120"/>
        <v/>
      </c>
      <c r="F71" s="1025"/>
      <c r="G71" s="1170">
        <f t="shared" si="121"/>
        <v>5.7949999999999999</v>
      </c>
      <c r="H71" s="1170"/>
      <c r="I71" s="1170">
        <f t="shared" si="122"/>
        <v>5.8539999999999992</v>
      </c>
      <c r="J71" s="1170"/>
      <c r="K71" s="1170">
        <f t="shared" si="123"/>
        <v>5.9108600808515943</v>
      </c>
      <c r="L71" s="1171"/>
      <c r="M71" s="1175">
        <f t="shared" si="124"/>
        <v>17.2</v>
      </c>
      <c r="N71" s="1026"/>
      <c r="O71" s="1176" t="str">
        <f t="shared" si="125"/>
        <v/>
      </c>
      <c r="P71" s="1170"/>
      <c r="Q71" s="1170">
        <f t="shared" si="126"/>
        <v>63.801000000000002</v>
      </c>
      <c r="R71" s="1171"/>
      <c r="S71" s="1176" t="str">
        <f t="shared" si="127"/>
        <v/>
      </c>
      <c r="T71" s="1170"/>
      <c r="U71" s="1170">
        <f t="shared" si="128"/>
        <v>24.951000000000001</v>
      </c>
      <c r="V71" s="1170"/>
      <c r="W71" s="1170">
        <f t="shared" si="129"/>
        <v>26.635999999999999</v>
      </c>
      <c r="X71" s="1170"/>
      <c r="Y71" s="1170">
        <f t="shared" si="130"/>
        <v>28.472896000000002</v>
      </c>
      <c r="Z71" s="1170"/>
      <c r="AA71" s="1170">
        <f t="shared" si="131"/>
        <v>26.686632000000003</v>
      </c>
      <c r="AB71" s="1184"/>
      <c r="AC71" s="1029">
        <f t="shared" si="132"/>
        <v>17.2</v>
      </c>
      <c r="AD71" s="1026"/>
      <c r="AE71" s="1180">
        <f t="shared" si="133"/>
        <v>1411.8385080256869</v>
      </c>
      <c r="AF71" s="1181"/>
      <c r="AG71" s="1177">
        <f t="shared" si="134"/>
        <v>13.393592369068747</v>
      </c>
      <c r="AH71" s="1171"/>
      <c r="AI71" s="420">
        <f t="shared" si="147"/>
        <v>16.192879999999999</v>
      </c>
      <c r="AJ71" s="418">
        <f t="shared" si="148"/>
        <v>27.974799999999998</v>
      </c>
      <c r="AK71" s="92">
        <f t="shared" si="149"/>
        <v>1384.1630804628483</v>
      </c>
      <c r="AL71" s="630">
        <f t="shared" si="135"/>
        <v>16.308098680966843</v>
      </c>
      <c r="AM71" s="655">
        <f t="shared" si="136"/>
        <v>16.955400000000001</v>
      </c>
      <c r="AN71" s="653">
        <f t="shared" si="150"/>
        <v>26.364659946136712</v>
      </c>
      <c r="AO71" s="92">
        <f t="shared" si="151"/>
        <v>1418.9296078698212</v>
      </c>
      <c r="AP71" s="654">
        <f t="shared" si="152"/>
        <v>13.351077525716979</v>
      </c>
      <c r="AQ71" s="625">
        <v>0.3</v>
      </c>
      <c r="AR71" s="629">
        <f t="shared" si="153"/>
        <v>38.601008234190488</v>
      </c>
      <c r="AS71" s="629">
        <f t="shared" si="137"/>
        <v>55.852737534967858</v>
      </c>
      <c r="AT71" s="630">
        <f t="shared" si="138"/>
        <v>44.539896734778637</v>
      </c>
      <c r="AU71" s="111"/>
      <c r="AV71" s="338"/>
      <c r="AW71" s="91">
        <v>30</v>
      </c>
      <c r="AX71" s="160">
        <f t="shared" si="154"/>
        <v>30</v>
      </c>
      <c r="AY71" s="59">
        <f t="shared" si="155"/>
        <v>1.3393592369068748</v>
      </c>
      <c r="AZ71" s="160">
        <f t="shared" ref="AZ71:AZ83" si="171">IF(AND(ISNUMBER(C71),ISNUMBER(C70)),C71*100-C70*100,AZ70)</f>
        <v>10</v>
      </c>
      <c r="BA71" s="91">
        <f t="shared" si="156"/>
        <v>30</v>
      </c>
      <c r="BB71" s="85">
        <f t="shared" si="157"/>
        <v>1.3393592369068748</v>
      </c>
      <c r="BC71" s="59">
        <f t="shared" si="158"/>
        <v>1.3393592369068748</v>
      </c>
      <c r="BD71" s="678">
        <f>IF(AND(ISNUMBER(BD70),SUM(BC71:BC77)=0,$AW71=100),BD70-BD69+BD70,IF(ISNUMBER(BC71),BC71,IF(AND(ISTEXT(BC71),$AZ71&gt;=10,$AZ71&lt;30),AVERAGE(BC70,BC72),IF(AND($AZ71=30,ISTEXT(BC71),ISNUMBER(BC70),ISNUMBER(BC72)),AVERAGE(BC70,BC72),IF(AND($AZ71=30,ISTEXT(BC71),ISTEXT(BC72)),((BC73-BC70)/3)+BC70,IF(AND($AZ71=30,ISTEXT(BC71),ISTEXT(BC70)),((BC72-BC69)/3)*2+BC69,IF(AND(ISTEXT(BC71),$AZ71&gt;30,$AZ71&lt;40),((BC72-BD70)/2)+BD70,IF(AND(ISTEXT(BC71),ISTEXT(BC72),$AZ71&gt;30),(AVERAGE(BC73:BC77)-BD70)/2+BD70,IF(AND(ISTEXT(BC71),ISTEXT(BC70),$AZ71&gt;=40),ABS(BD70-BC72)/2+MIN(BD70,BC72),"")))))))))</f>
        <v>1.3393592369068748</v>
      </c>
      <c r="BE71" s="59">
        <f t="shared" si="139"/>
        <v>1.6308098680966843</v>
      </c>
      <c r="BF71" s="67">
        <f t="shared" si="159"/>
        <v>1.6308098680966843</v>
      </c>
      <c r="BG71" s="59">
        <f t="shared" si="160"/>
        <v>1.6308098680966843</v>
      </c>
      <c r="BH71" s="678">
        <f>IF(AND(ISNUMBER(BH70),SUM(BG71:BG77)=0,$AW71=100),BH70-BH69+BH70,IF(ISNUMBER(BG71),BG71,IF(AND(ISTEXT(BG71),$AZ71&gt;=10,$AZ71&lt;30),AVERAGE(BG70,BG72),IF(AND($AZ71=30,ISTEXT(BG71),ISNUMBER(BG70),ISNUMBER(BG72)),AVERAGE(BG70,BG72),IF(AND($AZ71=30,ISTEXT(BG71),ISTEXT(BG72)),((BG73-BG70)/3)+BG70,IF(AND($AZ71=30,ISTEXT(BG71),ISTEXT(BG70)),((BG72-BG69)/3)*2+BG69,IF(AND(ISTEXT(BG71),$AZ71&gt;30,$AZ71&lt;40),((BG72-BH70)/2)+BH70,IF(AND(ISTEXT(BG71),ISTEXT(BG72),$AZ71&gt;30),(AVERAGE(BG73:BG77)-BH70)/2+BH70,IF(AND(ISTEXT(BG71),ISTEXT(BG70),$AZ71&gt;=40),ABS(BH70-BG72)/2+MIN(BH70,BG72),"")))))))))</f>
        <v>1.6308098680966843</v>
      </c>
      <c r="BI71" s="59">
        <f t="shared" si="161"/>
        <v>1.3351077525716979</v>
      </c>
      <c r="BJ71" s="67">
        <f t="shared" si="162"/>
        <v>1.3351077525716979</v>
      </c>
      <c r="BK71" s="59">
        <f t="shared" si="163"/>
        <v>1.3351077525716979</v>
      </c>
      <c r="BL71" s="678">
        <f>IF(AND(ISNUMBER(BL70),SUM(BK71:BK77)=0,$AW71=100),BL70-BL69+BL70,IF(ISNUMBER(BK71),BK71,IF(AND(ISTEXT(BK71),$AZ71&gt;=10,$AZ71&lt;30),AVERAGE(BK70,BK72),IF(AND($AZ71=30,ISTEXT(BK71),ISNUMBER(BK70),ISNUMBER(BK72)),AVERAGE(BK70,BK72),IF(AND($AZ71=30,ISTEXT(BK71),ISTEXT(BK72)),((BK73-BK70)/3)+BK70,IF(AND($AZ71=30,ISTEXT(BK71),ISTEXT(BK70)),((BK72-BK69)/3)*2+BK69,IF(AND(ISTEXT(BK71),$AZ71&gt;30,$AZ71&lt;40),((BK72-BL70)/2)+BL70,IF(AND(ISTEXT(BK71),ISTEXT(BK72),$AZ71&gt;30),(AVERAGE(BK73:BK77)-BL70)/2+BL70,IF(AND(ISTEXT(BK71),ISTEXT(BK70),$AZ71&gt;=40),ABS(BL70-BK72)/2+MIN(BL70,BK72),"")))))))))</f>
        <v>1.3351077525716979</v>
      </c>
      <c r="BM71" s="59"/>
      <c r="BN71" s="85">
        <f t="shared" ref="BN71:BN80" si="172">BN70+BD71</f>
        <v>3.8601008234190486</v>
      </c>
      <c r="BO71" s="59">
        <f t="shared" ref="BO71:BO80" si="173">BO70+BH71</f>
        <v>5.5852737534967858</v>
      </c>
      <c r="BP71" s="59">
        <f t="shared" ref="BP71:BP80" si="174">BP70+BL71</f>
        <v>4.4539896734778637</v>
      </c>
      <c r="BQ71" s="185">
        <f t="shared" si="164"/>
        <v>16.192879999999999</v>
      </c>
      <c r="BR71" s="185">
        <f t="shared" si="165"/>
        <v>27.974799999999998</v>
      </c>
      <c r="BS71" s="114">
        <f t="shared" si="140"/>
        <v>1384.1630804628483</v>
      </c>
      <c r="BT71" s="185">
        <f t="shared" si="166"/>
        <v>1.6308098680966843</v>
      </c>
      <c r="BU71" s="185">
        <f t="shared" si="141"/>
        <v>16.955400000000001</v>
      </c>
      <c r="BV71" s="185">
        <f t="shared" si="142"/>
        <v>26.364659946136712</v>
      </c>
      <c r="BW71" s="114">
        <f t="shared" si="143"/>
        <v>1418.9296078698212</v>
      </c>
      <c r="BX71" s="185">
        <f t="shared" si="167"/>
        <v>1.3351077525716979</v>
      </c>
      <c r="BY71" s="161"/>
      <c r="BZ71" s="161"/>
      <c r="CA71" s="161"/>
      <c r="CB71" s="161"/>
      <c r="CC71" s="161"/>
      <c r="CD71" s="161">
        <f t="shared" si="168"/>
        <v>-90</v>
      </c>
      <c r="CE71" s="161">
        <f t="shared" si="169"/>
        <v>-70</v>
      </c>
      <c r="CF71" s="161"/>
      <c r="CG71" s="161"/>
      <c r="CH71" s="1179">
        <f t="shared" si="144"/>
        <v>5.7949999999999999</v>
      </c>
      <c r="CI71" s="1179"/>
      <c r="CJ71" s="1179">
        <f t="shared" si="145"/>
        <v>5.8539999999999992</v>
      </c>
      <c r="CK71" s="1179"/>
      <c r="CL71" s="1179">
        <f t="shared" si="146"/>
        <v>5.9108600808515943</v>
      </c>
      <c r="CM71" s="1179"/>
    </row>
    <row r="72" spans="1:91">
      <c r="B72" s="247">
        <v>4</v>
      </c>
      <c r="C72" s="1025">
        <f t="shared" si="170"/>
        <v>0.6</v>
      </c>
      <c r="D72" s="1178"/>
      <c r="E72" s="1029" t="str">
        <f t="shared" si="120"/>
        <v/>
      </c>
      <c r="F72" s="1025"/>
      <c r="G72" s="1170">
        <f t="shared" si="121"/>
        <v>7.7450000000000001</v>
      </c>
      <c r="H72" s="1170"/>
      <c r="I72" s="1170">
        <f t="shared" si="122"/>
        <v>5.4339999999999993</v>
      </c>
      <c r="J72" s="1170"/>
      <c r="K72" s="1170">
        <f t="shared" si="123"/>
        <v>5.7454522595015813</v>
      </c>
      <c r="L72" s="1171"/>
      <c r="M72" s="1175">
        <f t="shared" si="124"/>
        <v>16.2</v>
      </c>
      <c r="N72" s="1026"/>
      <c r="O72" s="1176" t="str">
        <f t="shared" si="125"/>
        <v/>
      </c>
      <c r="P72" s="1170"/>
      <c r="Q72" s="1170">
        <f t="shared" si="126"/>
        <v>77.191000000000003</v>
      </c>
      <c r="R72" s="1171"/>
      <c r="S72" s="1176" t="str">
        <f t="shared" si="127"/>
        <v/>
      </c>
      <c r="T72" s="1170"/>
      <c r="U72" s="1170">
        <f t="shared" si="128"/>
        <v>30.541</v>
      </c>
      <c r="V72" s="1170"/>
      <c r="W72" s="1170">
        <f t="shared" si="129"/>
        <v>25.405999999999999</v>
      </c>
      <c r="X72" s="1170"/>
      <c r="Y72" s="1170">
        <f t="shared" si="130"/>
        <v>27.867840999999999</v>
      </c>
      <c r="Z72" s="1170"/>
      <c r="AA72" s="1170">
        <f t="shared" si="131"/>
        <v>27.938280333333335</v>
      </c>
      <c r="AB72" s="1184"/>
      <c r="AC72" s="1029">
        <f t="shared" si="132"/>
        <v>16.2</v>
      </c>
      <c r="AD72" s="1026"/>
      <c r="AE72" s="1180">
        <f t="shared" si="133"/>
        <v>1383.1056406922467</v>
      </c>
      <c r="AF72" s="1181"/>
      <c r="AG72" s="1177">
        <f t="shared" si="134"/>
        <v>16.235281741060202</v>
      </c>
      <c r="AH72" s="1171"/>
      <c r="AI72" s="420">
        <f t="shared" si="147"/>
        <v>15.847479999999999</v>
      </c>
      <c r="AJ72" s="418">
        <f t="shared" si="148"/>
        <v>23.060799999999997</v>
      </c>
      <c r="AK72" s="92">
        <f t="shared" si="149"/>
        <v>1494.0592886935699</v>
      </c>
      <c r="AL72" s="630">
        <f t="shared" si="135"/>
        <v>10.777127748319099</v>
      </c>
      <c r="AM72" s="655">
        <f>IF(ISNUMBER($C72),IF(AND(ISNUMBER(BU72),$B72&lt;=$CD$45),BU72,""),"")</f>
        <v>16.177392000000001</v>
      </c>
      <c r="AN72" s="653">
        <f t="shared" si="150"/>
        <v>21.831359419387525</v>
      </c>
      <c r="AO72" s="92">
        <f t="shared" si="151"/>
        <v>1524.8938564668053</v>
      </c>
      <c r="AP72" s="654">
        <f t="shared" si="152"/>
        <v>8.6217001824875119</v>
      </c>
      <c r="AQ72" s="625">
        <v>0.4</v>
      </c>
      <c r="AR72" s="629">
        <f t="shared" si="153"/>
        <v>52.941830393923048</v>
      </c>
      <c r="AS72" s="629">
        <f t="shared" si="137"/>
        <v>70.317179238385449</v>
      </c>
      <c r="AT72" s="630">
        <f t="shared" si="138"/>
        <v>56.314515146085789</v>
      </c>
      <c r="AU72" s="111"/>
      <c r="AV72" s="338"/>
      <c r="AW72" s="91">
        <v>40</v>
      </c>
      <c r="AX72" s="160">
        <f t="shared" si="154"/>
        <v>60</v>
      </c>
      <c r="AY72" s="59" t="e">
        <f t="shared" si="155"/>
        <v>#N/A</v>
      </c>
      <c r="AZ72" s="160">
        <f t="shared" si="171"/>
        <v>30</v>
      </c>
      <c r="BA72" s="91">
        <f t="shared" si="156"/>
        <v>60</v>
      </c>
      <c r="BB72" s="85">
        <f t="shared" si="157"/>
        <v>1.6235281741060203</v>
      </c>
      <c r="BC72" s="59" t="str">
        <f t="shared" si="158"/>
        <v/>
      </c>
      <c r="BD72" s="678">
        <f>IF(AND(ISNUMBER(BD71),SUM(BC72:BC78)=0,$AW72=100),BD71-BD70+BD71,IF(ISNUMBER(BC72),BC72,IF(AND(ISTEXT(BC72),$AZ72&gt;=10,$AZ72&lt;30),AVERAGE(BC71,BC73),IF(AND($AZ72=30,ISTEXT(BC72),ISNUMBER(BC71),ISNUMBER(BC73)),AVERAGE(BC71,BC73),IF(AND($AZ72=30,ISTEXT(BC72),ISTEXT(BC73)),((BC74-BC71)/3)+BC71,IF(AND($AZ72=30,ISTEXT(BC72),ISTEXT(BC71)),((BC73-BC70)/3)*2+BC70,IF(AND(ISTEXT(BC72),$AZ72&gt;30,$AZ72&lt;40),((BC73-BD71)/2)+BD71,IF(AND(ISTEXT(BC72),ISTEXT(BC73),$AZ72&gt;30),(AVERAGE(BC74:BC78)-BD71)/2+BD71,IF(AND(ISTEXT(BC72),ISTEXT(BC71),$AZ72&gt;=40),ABS(BD71-BC73)/2+MIN(BD71,BC73),"")))))))))</f>
        <v>1.4340822159732567</v>
      </c>
      <c r="BE72" s="59" t="e">
        <f t="shared" si="139"/>
        <v>#N/A</v>
      </c>
      <c r="BF72" s="67">
        <f t="shared" si="159"/>
        <v>1.07771277483191</v>
      </c>
      <c r="BG72" s="59" t="str">
        <f t="shared" si="160"/>
        <v/>
      </c>
      <c r="BH72" s="678">
        <f>IF(AND(ISNUMBER(BH71),SUM(BG72:BG78)=0,$AW72=100),BH71-BH70+BH71,IF(ISNUMBER(BG72),BG72,IF(AND(ISTEXT(BG72),$AZ72&gt;=10,$AZ72&lt;30),AVERAGE(BG71,BG73),IF(AND($AZ72=30,ISTEXT(BG72),ISNUMBER(BG71),ISNUMBER(BG73)),AVERAGE(BG71,BG73),IF(AND($AZ72=30,ISTEXT(BG72),ISTEXT(BG73)),((BG74-BG71)/3)+BG71,IF(AND($AZ72=30,ISTEXT(BG72),ISTEXT(BG71)),((BG73-BG70)/3)*2+BG70,IF(AND(ISTEXT(BG72),$AZ72&gt;30,$AZ72&lt;40),((BG73-BH71)/2)+BH71,IF(AND(ISTEXT(BG72),ISTEXT(BG73),$AZ72&gt;30),(AVERAGE(BG74:BG78)-BH71)/2+BH71,IF(AND(ISTEXT(BG72),ISTEXT(BG71),$AZ72&gt;=40),ABS(BH71-BG73)/2+MIN(BH71,BG73),"")))))))))</f>
        <v>1.4464441703417594</v>
      </c>
      <c r="BI72" s="59" t="e">
        <f t="shared" si="161"/>
        <v>#N/A</v>
      </c>
      <c r="BJ72" s="67">
        <f t="shared" si="162"/>
        <v>0.86217001824875117</v>
      </c>
      <c r="BK72" s="59" t="str">
        <f t="shared" si="163"/>
        <v/>
      </c>
      <c r="BL72" s="678">
        <f>IF(AND(ISNUMBER(BL71),SUM(BK72:BK78)=0,$AW72=100),BL71-BL70+BL71,IF(ISNUMBER(BK72),BK72,IF(AND(ISTEXT(BK72),$AZ72&gt;=10,$AZ72&lt;30),AVERAGE(BK71,BK73),IF(AND($AZ72=30,ISTEXT(BK72),ISNUMBER(BK71),ISNUMBER(BK73)),AVERAGE(BK71,BK73),IF(AND($AZ72=30,ISTEXT(BK72),ISTEXT(BK73)),((BK74-BK71)/3)+BK71,IF(AND($AZ72=30,ISTEXT(BK72),ISTEXT(BK71)),((BK73-BK70)/3)*2+BK70,IF(AND(ISTEXT(BK72),$AZ72&gt;30,$AZ72&lt;40),((BK73-BL71)/2)+BL71,IF(AND(ISTEXT(BK72),ISTEXT(BK73),$AZ72&gt;30),(AVERAGE(BK74:BK78)-BL71)/2+BL71,IF(AND(ISTEXT(BK72),ISTEXT(BK71),$AZ72&gt;=40),ABS(BL71-BK73)/2+MIN(BL71,BK73),"")))))))))</f>
        <v>1.1774618411307156</v>
      </c>
      <c r="BM72" s="59"/>
      <c r="BN72" s="85">
        <f t="shared" si="172"/>
        <v>5.2941830393923048</v>
      </c>
      <c r="BO72" s="59">
        <f t="shared" si="173"/>
        <v>7.0317179238385457</v>
      </c>
      <c r="BP72" s="59">
        <f t="shared" si="174"/>
        <v>5.6314515146085791</v>
      </c>
      <c r="BQ72" s="185">
        <f t="shared" si="164"/>
        <v>15.847479999999999</v>
      </c>
      <c r="BR72" s="185">
        <f t="shared" si="165"/>
        <v>23.060799999999997</v>
      </c>
      <c r="BS72" s="114">
        <f t="shared" si="140"/>
        <v>1494.0592886935699</v>
      </c>
      <c r="BT72" s="185">
        <f t="shared" si="166"/>
        <v>1.07771277483191</v>
      </c>
      <c r="BU72" s="185">
        <f t="shared" si="141"/>
        <v>16.177392000000001</v>
      </c>
      <c r="BV72" s="185">
        <f t="shared" si="142"/>
        <v>21.831359419387525</v>
      </c>
      <c r="BW72" s="114">
        <f t="shared" si="143"/>
        <v>1524.8938564668053</v>
      </c>
      <c r="BX72" s="185">
        <f t="shared" si="167"/>
        <v>0.86217001824875117</v>
      </c>
      <c r="BY72" s="161"/>
      <c r="BZ72" s="161"/>
      <c r="CA72" s="161"/>
      <c r="CB72" s="161"/>
      <c r="CC72" s="161"/>
      <c r="CD72" s="161">
        <f t="shared" si="168"/>
        <v>-60</v>
      </c>
      <c r="CE72" s="161">
        <f t="shared" si="169"/>
        <v>-40</v>
      </c>
      <c r="CF72" s="161"/>
      <c r="CG72" s="161"/>
      <c r="CH72" s="1179">
        <f t="shared" si="144"/>
        <v>7.7450000000000001</v>
      </c>
      <c r="CI72" s="1179"/>
      <c r="CJ72" s="1179">
        <f t="shared" si="145"/>
        <v>5.4339999999999993</v>
      </c>
      <c r="CK72" s="1179"/>
      <c r="CL72" s="1179">
        <f t="shared" si="146"/>
        <v>5.7454522595015813</v>
      </c>
      <c r="CM72" s="1179"/>
    </row>
    <row r="73" spans="1:91">
      <c r="B73" s="247">
        <v>5</v>
      </c>
      <c r="C73" s="1025">
        <f t="shared" si="170"/>
        <v>0.9</v>
      </c>
      <c r="D73" s="1178"/>
      <c r="E73" s="1029" t="str">
        <f t="shared" si="120"/>
        <v/>
      </c>
      <c r="F73" s="1025"/>
      <c r="G73" s="1170">
        <f t="shared" si="121"/>
        <v>4.6399999999999997</v>
      </c>
      <c r="H73" s="1170"/>
      <c r="I73" s="1170">
        <f t="shared" si="122"/>
        <v>5.1819999999999995</v>
      </c>
      <c r="J73" s="1170"/>
      <c r="K73" s="1170">
        <f t="shared" si="123"/>
        <v>5.1015177047197779</v>
      </c>
      <c r="L73" s="1171"/>
      <c r="M73" s="1175">
        <f t="shared" si="124"/>
        <v>15.6</v>
      </c>
      <c r="N73" s="1026"/>
      <c r="O73" s="1176" t="str">
        <f t="shared" si="125"/>
        <v/>
      </c>
      <c r="P73" s="1170"/>
      <c r="Q73" s="1170">
        <f t="shared" si="126"/>
        <v>55.870000000000005</v>
      </c>
      <c r="R73" s="1171"/>
      <c r="S73" s="1176" t="str">
        <f t="shared" si="127"/>
        <v/>
      </c>
      <c r="T73" s="1170"/>
      <c r="U73" s="1170">
        <f t="shared" si="128"/>
        <v>21.64</v>
      </c>
      <c r="V73" s="1170"/>
      <c r="W73" s="1170">
        <f t="shared" si="129"/>
        <v>24.667999999999999</v>
      </c>
      <c r="X73" s="1170"/>
      <c r="Y73" s="1170">
        <f t="shared" si="130"/>
        <v>25.512601</v>
      </c>
      <c r="Z73" s="1170"/>
      <c r="AA73" s="1170">
        <f t="shared" si="131"/>
        <v>23.940200333333333</v>
      </c>
      <c r="AB73" s="1184"/>
      <c r="AC73" s="1029">
        <f t="shared" si="132"/>
        <v>15.6</v>
      </c>
      <c r="AD73" s="1026"/>
      <c r="AE73" s="1180">
        <f t="shared" si="133"/>
        <v>1464.9757865842641</v>
      </c>
      <c r="AF73" s="1181"/>
      <c r="AG73" s="1177">
        <f t="shared" si="134"/>
        <v>12.218191543595342</v>
      </c>
      <c r="AH73" s="1171"/>
      <c r="AI73" s="420">
        <f t="shared" si="147"/>
        <v>15.904240000000003</v>
      </c>
      <c r="AJ73" s="418">
        <f t="shared" si="148"/>
        <v>21.540400000000002</v>
      </c>
      <c r="AK73" s="92">
        <f t="shared" si="149"/>
        <v>1524.2812126773772</v>
      </c>
      <c r="AL73" s="630">
        <f t="shared" si="135"/>
        <v>8.5910927996437234</v>
      </c>
      <c r="AM73" s="655">
        <f t="shared" si="136"/>
        <v>15.689476000000001</v>
      </c>
      <c r="AN73" s="653">
        <f t="shared" si="150"/>
        <v>19.466161483732304</v>
      </c>
      <c r="AO73" s="92">
        <f t="shared" si="151"/>
        <v>1579.5501333487589</v>
      </c>
      <c r="AP73" s="654">
        <f t="shared" si="152"/>
        <v>5.9654640594456811</v>
      </c>
      <c r="AQ73" s="625">
        <v>0.5</v>
      </c>
      <c r="AR73" s="629">
        <f t="shared" si="153"/>
        <v>68.229882344319435</v>
      </c>
      <c r="AS73" s="629">
        <f t="shared" si="137"/>
        <v>82.937963964253797</v>
      </c>
      <c r="AT73" s="630">
        <f t="shared" si="138"/>
        <v>66.512674442983126</v>
      </c>
      <c r="AU73" s="111"/>
      <c r="AV73" s="338"/>
      <c r="AW73" s="91">
        <v>50</v>
      </c>
      <c r="AX73" s="160">
        <f t="shared" si="154"/>
        <v>90</v>
      </c>
      <c r="AY73" s="59" t="e">
        <f t="shared" si="155"/>
        <v>#N/A</v>
      </c>
      <c r="AZ73" s="160">
        <f t="shared" si="171"/>
        <v>30</v>
      </c>
      <c r="BA73" s="91">
        <f t="shared" si="156"/>
        <v>90</v>
      </c>
      <c r="BB73" s="85">
        <f t="shared" si="157"/>
        <v>1.2218191543595343</v>
      </c>
      <c r="BC73" s="59" t="str">
        <f t="shared" si="158"/>
        <v/>
      </c>
      <c r="BD73" s="678">
        <f>IF(AND(ISNUMBER(BD72),SUM(BC73:BC79)=0,$AW73=100),BD72-BD71+BD72,IF(ISNUMBER(BC73),BC73,IF(AND(ISTEXT(BC73),$AZ73&gt;=10,$AZ73&lt;30),AVERAGE(BC72,BC74),IF(AND($AZ73=30,ISTEXT(BC73),ISNUMBER(BC72),ISNUMBER(BC74)),AVERAGE(BC72,BC74),IF(AND($AZ73=30,ISTEXT(BC73),ISTEXT(BC74)),((BC75-BC72)/3)+BC72,IF(AND($AZ73=30,ISTEXT(BC73),ISTEXT(BC72)),((BC74-BC71)/3)*2+BC71,IF(AND(ISTEXT(BC73),$AZ73&gt;30,$AZ73&lt;40),((BC74-BD72)/2)+BD72,IF(AND(ISTEXT(BC73),ISTEXT(BC74),$AZ73&gt;30),(AVERAGE(BC75:BC79)-BD72)/2+BD72,IF(AND(ISTEXT(BC73),ISTEXT(BC72),$AZ73&gt;=40),ABS(BD72-BC74)/2+MIN(BD72,BC74),"")))))))))</f>
        <v>1.5288051950396384</v>
      </c>
      <c r="BE73" s="59" t="e">
        <f t="shared" si="139"/>
        <v>#N/A</v>
      </c>
      <c r="BF73" s="67">
        <f t="shared" si="159"/>
        <v>0.85910927996437236</v>
      </c>
      <c r="BG73" s="59" t="str">
        <f t="shared" si="160"/>
        <v/>
      </c>
      <c r="BH73" s="678">
        <f>IF(AND(ISNUMBER(BH72),SUM(BG73:BG79)=0,$AW73=100),BH72-BH71+BH72,IF(ISNUMBER(BG73),BG73,IF(AND(ISTEXT(BG73),$AZ73&gt;=10,$AZ73&lt;30),AVERAGE(BG72,BG74),IF(AND($AZ73=30,ISTEXT(BG73),ISNUMBER(BG72),ISNUMBER(BG74)),AVERAGE(BG72,BG74),IF(AND($AZ73=30,ISTEXT(BG73),ISTEXT(BG74)),((BG75-BG72)/3)+BG72,IF(AND($AZ73=30,ISTEXT(BG73),ISTEXT(BG72)),((BG74-BG71)/3)*2+BG71,IF(AND(ISTEXT(BG73),$AZ73&gt;30,$AZ73&lt;40),((BG74-BH72)/2)+BH72,IF(AND(ISTEXT(BG73),ISTEXT(BG74),$AZ73&gt;30),(AVERAGE(BG75:BG79)-BH72)/2+BH72,IF(AND(ISTEXT(BG73),ISTEXT(BG72),$AZ73&gt;=40),ABS(BH72-BG74)/2+MIN(BH72,BG74),"")))))))))</f>
        <v>1.2620784725868348</v>
      </c>
      <c r="BI73" s="59" t="e">
        <f t="shared" si="161"/>
        <v>#N/A</v>
      </c>
      <c r="BJ73" s="67">
        <f t="shared" si="162"/>
        <v>0.59654640594456809</v>
      </c>
      <c r="BK73" s="59" t="str">
        <f t="shared" si="163"/>
        <v/>
      </c>
      <c r="BL73" s="678">
        <f>IF(AND(ISNUMBER(BL72),SUM(BK73:BK79)=0,$AW73=100),BL72-BL71+BL72,IF(ISNUMBER(BK73),BK73,IF(AND(ISTEXT(BK73),$AZ73&gt;=10,$AZ73&lt;30),AVERAGE(BK72,BK74),IF(AND($AZ73=30,ISTEXT(BK73),ISNUMBER(BK72),ISNUMBER(BK74)),AVERAGE(BK72,BK74),IF(AND($AZ73=30,ISTEXT(BK73),ISTEXT(BK74)),((BK75-BK72)/3)+BK72,IF(AND($AZ73=30,ISTEXT(BK73),ISTEXT(BK72)),((BK74-BK71)/3)*2+BK71,IF(AND(ISTEXT(BK73),$AZ73&gt;30,$AZ73&lt;40),((BK74-BL72)/2)+BL72,IF(AND(ISTEXT(BK73),ISTEXT(BK74),$AZ73&gt;30),(AVERAGE(BK75:BK79)-BL72)/2+BL72,IF(AND(ISTEXT(BK73),ISTEXT(BK72),$AZ73&gt;=40),ABS(BL72-BK74)/2+MIN(BL72,BK74),"")))))))))</f>
        <v>1.0198159296897333</v>
      </c>
      <c r="BM73" s="59"/>
      <c r="BN73" s="85">
        <f>BN72+BD73</f>
        <v>6.8229882344319428</v>
      </c>
      <c r="BO73" s="59">
        <f t="shared" si="173"/>
        <v>8.29379639642538</v>
      </c>
      <c r="BP73" s="59">
        <f t="shared" si="174"/>
        <v>6.6512674442983126</v>
      </c>
      <c r="BQ73" s="185">
        <f t="shared" si="164"/>
        <v>15.904240000000003</v>
      </c>
      <c r="BR73" s="185">
        <f t="shared" si="165"/>
        <v>21.540400000000002</v>
      </c>
      <c r="BS73" s="114">
        <f t="shared" si="140"/>
        <v>1524.2812126773772</v>
      </c>
      <c r="BT73" s="185">
        <f t="shared" si="166"/>
        <v>0.85910927996437236</v>
      </c>
      <c r="BU73" s="185">
        <f t="shared" si="141"/>
        <v>15.689476000000001</v>
      </c>
      <c r="BV73" s="185">
        <f t="shared" si="142"/>
        <v>19.466161483732304</v>
      </c>
      <c r="BW73" s="114">
        <f t="shared" si="143"/>
        <v>1579.5501333487589</v>
      </c>
      <c r="BX73" s="185">
        <f t="shared" si="167"/>
        <v>0.59654640594456809</v>
      </c>
      <c r="BY73" s="161"/>
      <c r="BZ73" s="161"/>
      <c r="CA73" s="161"/>
      <c r="CB73" s="161"/>
      <c r="CC73" s="161"/>
      <c r="CD73" s="161">
        <f t="shared" si="168"/>
        <v>-30</v>
      </c>
      <c r="CE73" s="161">
        <f t="shared" si="169"/>
        <v>-10</v>
      </c>
      <c r="CF73" s="161"/>
      <c r="CG73" s="161"/>
      <c r="CH73" s="1179">
        <f t="shared" si="144"/>
        <v>4.6399999999999997</v>
      </c>
      <c r="CI73" s="1179"/>
      <c r="CJ73" s="1179">
        <f t="shared" si="145"/>
        <v>5.1819999999999995</v>
      </c>
      <c r="CK73" s="1179"/>
      <c r="CL73" s="1179">
        <f t="shared" si="146"/>
        <v>5.1015177047197779</v>
      </c>
      <c r="CM73" s="1179"/>
    </row>
    <row r="74" spans="1:91">
      <c r="B74" s="247">
        <v>6</v>
      </c>
      <c r="C74" s="1025" t="str">
        <f t="shared" si="170"/>
        <v/>
      </c>
      <c r="D74" s="1178"/>
      <c r="E74" s="1029" t="str">
        <f t="shared" si="120"/>
        <v/>
      </c>
      <c r="F74" s="1025"/>
      <c r="G74" s="1170" t="str">
        <f t="shared" si="121"/>
        <v/>
      </c>
      <c r="H74" s="1170"/>
      <c r="I74" s="1170" t="str">
        <f t="shared" si="122"/>
        <v/>
      </c>
      <c r="J74" s="1170"/>
      <c r="K74" s="1170" t="str">
        <f t="shared" si="123"/>
        <v/>
      </c>
      <c r="L74" s="1171"/>
      <c r="M74" s="1175" t="str">
        <f t="shared" si="124"/>
        <v/>
      </c>
      <c r="N74" s="1026"/>
      <c r="O74" s="1176" t="str">
        <f t="shared" si="125"/>
        <v/>
      </c>
      <c r="P74" s="1170"/>
      <c r="Q74" s="1170" t="str">
        <f t="shared" si="126"/>
        <v/>
      </c>
      <c r="R74" s="1171"/>
      <c r="S74" s="1176" t="str">
        <f t="shared" si="127"/>
        <v/>
      </c>
      <c r="T74" s="1170"/>
      <c r="U74" s="1170" t="str">
        <f t="shared" si="128"/>
        <v/>
      </c>
      <c r="V74" s="1170"/>
      <c r="W74" s="1170" t="str">
        <f t="shared" si="129"/>
        <v/>
      </c>
      <c r="X74" s="1170"/>
      <c r="Y74" s="1170" t="str">
        <f t="shared" si="130"/>
        <v/>
      </c>
      <c r="Z74" s="1170"/>
      <c r="AA74" s="1170" t="str">
        <f t="shared" si="131"/>
        <v/>
      </c>
      <c r="AB74" s="1184"/>
      <c r="AC74" s="1029" t="str">
        <f t="shared" si="132"/>
        <v/>
      </c>
      <c r="AD74" s="1026"/>
      <c r="AE74" s="1180" t="str">
        <f t="shared" si="133"/>
        <v/>
      </c>
      <c r="AF74" s="1181"/>
      <c r="AG74" s="1177" t="str">
        <f t="shared" si="134"/>
        <v/>
      </c>
      <c r="AH74" s="1171"/>
      <c r="AI74" s="420" t="str">
        <f t="shared" si="147"/>
        <v/>
      </c>
      <c r="AJ74" s="418" t="str">
        <f t="shared" si="148"/>
        <v/>
      </c>
      <c r="AK74" s="92" t="str">
        <f t="shared" si="149"/>
        <v/>
      </c>
      <c r="AL74" s="630" t="str">
        <f t="shared" si="135"/>
        <v/>
      </c>
      <c r="AM74" s="655" t="str">
        <f>IF(ISNUMBER($C74),IF(AND(ISNUMBER(BU74),$B74&lt;=$CD$45),BU74,""),"")</f>
        <v/>
      </c>
      <c r="AN74" s="653" t="str">
        <f t="shared" si="150"/>
        <v/>
      </c>
      <c r="AO74" s="92" t="str">
        <f t="shared" si="151"/>
        <v/>
      </c>
      <c r="AP74" s="654" t="str">
        <f t="shared" si="152"/>
        <v/>
      </c>
      <c r="AQ74" s="625">
        <v>0.6</v>
      </c>
      <c r="AR74" s="629">
        <f t="shared" si="153"/>
        <v>84.465164085379627</v>
      </c>
      <c r="AS74" s="629">
        <f t="shared" si="137"/>
        <v>93.715091712572899</v>
      </c>
      <c r="AT74" s="630">
        <f t="shared" si="138"/>
        <v>75.134374625470628</v>
      </c>
      <c r="AU74" s="111"/>
      <c r="AV74" s="338"/>
      <c r="AW74" s="91">
        <v>60</v>
      </c>
      <c r="AX74" s="160" t="e">
        <f t="shared" si="154"/>
        <v>#VALUE!</v>
      </c>
      <c r="AY74" s="59">
        <f t="shared" si="155"/>
        <v>1.6235281741060203</v>
      </c>
      <c r="AZ74" s="160">
        <f t="shared" si="171"/>
        <v>30</v>
      </c>
      <c r="BA74" s="91" t="e">
        <f t="shared" si="156"/>
        <v>#VALUE!</v>
      </c>
      <c r="BB74" s="85" t="str">
        <f t="shared" si="157"/>
        <v/>
      </c>
      <c r="BC74" s="59">
        <f t="shared" si="158"/>
        <v>1.6235281741060203</v>
      </c>
      <c r="BD74" s="678">
        <f t="shared" ref="BD74:BD83" si="175">IF(AND(ISNUMBER(BD73),SUM(BC74:BC80)=0,$AW74=100),BD73-BD72+BD73,IF(ISNUMBER(BC74),BC74,IF(AND(ISTEXT(BC74),$AZ74&gt;=10,$AZ74&lt;30),AVERAGE(BC73,BC75),IF(AND($AZ74=30,ISTEXT(BC74),ISNUMBER(BC73),ISNUMBER(BC75)),AVERAGE(BC73,BC75),IF(AND($AZ74=30,ISTEXT(BC74),ISTEXT(BC75)),((BC76-BC73)/3)+BC73,IF(AND($AZ74=30,ISTEXT(BC74),ISTEXT(BC73)),((BC75-BC72)/3)*2+BC72,IF(AND(ISTEXT(BC74),$AZ74&gt;30,$AZ74&lt;40),((BC75-BD73)/2)+BD73,IF(AND(ISTEXT(BC74),ISTEXT(BC75),$AZ74&gt;30),(AVERAGE(BC76:BC80)-BD73)/2+BD73,IF(AND(ISTEXT(BC74),ISTEXT(BC73),$AZ74&gt;=40),ABS(BD73-BC75)/2+MIN(BD73,BC75),"")))))))))</f>
        <v>1.6235281741060203</v>
      </c>
      <c r="BE74" s="59">
        <f t="shared" si="139"/>
        <v>1.07771277483191</v>
      </c>
      <c r="BF74" s="67" t="str">
        <f t="shared" si="159"/>
        <v/>
      </c>
      <c r="BG74" s="59">
        <f t="shared" si="160"/>
        <v>1.07771277483191</v>
      </c>
      <c r="BH74" s="678">
        <f t="shared" ref="BH74:BH83" si="176">IF(AND(ISNUMBER(BH73),SUM(BG74:BG80)=0,$AW74=100),BH73-BH72+BH73,IF(ISNUMBER(BG74),BG74,IF(AND(ISTEXT(BG74),$AZ74&gt;=10,$AZ74&lt;30),AVERAGE(BG73,BG75),IF(AND($AZ74=30,ISTEXT(BG74),ISNUMBER(BG73),ISNUMBER(BG75)),AVERAGE(BG73,BG75),IF(AND($AZ74=30,ISTEXT(BG74),ISTEXT(BG75)),((BG76-BG73)/3)+BG73,IF(AND($AZ74=30,ISTEXT(BG74),ISTEXT(BG73)),((BG75-BG72)/3)*2+BG72,IF(AND(ISTEXT(BG74),$AZ74&gt;30,$AZ74&lt;40),((BG75-BH73)/2)+BH73,IF(AND(ISTEXT(BG74),ISTEXT(BG75),$AZ74&gt;30),(AVERAGE(BG76:BG80)-BH73)/2+BH73,IF(AND(ISTEXT(BG74),ISTEXT(BG73),$AZ74&gt;=40),ABS(BH73-BG75)/2+MIN(BH73,BG75),"")))))))))</f>
        <v>1.07771277483191</v>
      </c>
      <c r="BI74" s="59">
        <f t="shared" si="161"/>
        <v>0.86217001824875117</v>
      </c>
      <c r="BJ74" s="67" t="str">
        <f t="shared" si="162"/>
        <v/>
      </c>
      <c r="BK74" s="59">
        <f t="shared" si="163"/>
        <v>0.86217001824875117</v>
      </c>
      <c r="BL74" s="678">
        <f t="shared" ref="BL74:BL83" si="177">IF(AND(ISNUMBER(BL73),SUM(BK74:BK80)=0,$AW74=100),BL73-BL72+BL73,IF(ISNUMBER(BK74),BK74,IF(AND(ISTEXT(BK74),$AZ74&gt;=10,$AZ74&lt;30),AVERAGE(BK73,BK75),IF(AND($AZ74=30,ISTEXT(BK74),ISNUMBER(BK73),ISNUMBER(BK75)),AVERAGE(BK73,BK75),IF(AND($AZ74=30,ISTEXT(BK74),ISTEXT(BK75)),((BK76-BK73)/3)+BK73,IF(AND($AZ74=30,ISTEXT(BK74),ISTEXT(BK73)),((BK75-BK72)/3)*2+BK72,IF(AND(ISTEXT(BK74),$AZ74&gt;30,$AZ74&lt;40),((BK75-BL73)/2)+BL73,IF(AND(ISTEXT(BK74),ISTEXT(BK75),$AZ74&gt;30),(AVERAGE(BK76:BK80)-BL73)/2+BL73,IF(AND(ISTEXT(BK74),ISTEXT(BK73),$AZ74&gt;=40),ABS(BL73-BK75)/2+MIN(BL73,BK75),"")))))))))</f>
        <v>0.86217001824875117</v>
      </c>
      <c r="BM74" s="59"/>
      <c r="BN74" s="85">
        <f>BN73+BD74</f>
        <v>8.4465164085379634</v>
      </c>
      <c r="BO74" s="59">
        <f t="shared" si="173"/>
        <v>9.3715091712572907</v>
      </c>
      <c r="BP74" s="59">
        <f t="shared" si="174"/>
        <v>7.5134374625470635</v>
      </c>
      <c r="BQ74" s="185" t="str">
        <f t="shared" si="164"/>
        <v/>
      </c>
      <c r="BR74" s="185" t="str">
        <f t="shared" si="165"/>
        <v/>
      </c>
      <c r="BS74" s="114" t="str">
        <f t="shared" si="140"/>
        <v/>
      </c>
      <c r="BT74" s="185" t="str">
        <f t="shared" si="166"/>
        <v/>
      </c>
      <c r="BU74" s="185" t="str">
        <f t="shared" si="141"/>
        <v/>
      </c>
      <c r="BV74" s="185" t="str">
        <f t="shared" si="142"/>
        <v/>
      </c>
      <c r="BW74" s="114" t="str">
        <f t="shared" si="143"/>
        <v/>
      </c>
      <c r="BX74" s="185" t="str">
        <f t="shared" si="167"/>
        <v/>
      </c>
      <c r="BY74" s="161"/>
      <c r="BZ74" s="161"/>
      <c r="CA74" s="161"/>
      <c r="CB74" s="161"/>
      <c r="CC74" s="161"/>
      <c r="CD74" s="161" t="str">
        <f t="shared" si="168"/>
        <v/>
      </c>
      <c r="CE74" s="161" t="str">
        <f t="shared" si="169"/>
        <v/>
      </c>
      <c r="CF74" s="161"/>
      <c r="CG74" s="161"/>
      <c r="CH74" s="1179" t="str">
        <f t="shared" si="144"/>
        <v/>
      </c>
      <c r="CI74" s="1179"/>
      <c r="CJ74" s="1179" t="str">
        <f t="shared" si="145"/>
        <v/>
      </c>
      <c r="CK74" s="1179"/>
      <c r="CL74" s="1179" t="str">
        <f t="shared" si="146"/>
        <v/>
      </c>
      <c r="CM74" s="1179"/>
    </row>
    <row r="75" spans="1:91">
      <c r="B75" s="247">
        <v>7</v>
      </c>
      <c r="C75" s="1025" t="str">
        <f t="shared" si="170"/>
        <v/>
      </c>
      <c r="D75" s="1178"/>
      <c r="E75" s="1029" t="str">
        <f t="shared" si="120"/>
        <v/>
      </c>
      <c r="F75" s="1025"/>
      <c r="G75" s="1170" t="str">
        <f t="shared" si="121"/>
        <v/>
      </c>
      <c r="H75" s="1170"/>
      <c r="I75" s="1170" t="str">
        <f t="shared" si="122"/>
        <v/>
      </c>
      <c r="J75" s="1170"/>
      <c r="K75" s="1170" t="str">
        <f t="shared" si="123"/>
        <v/>
      </c>
      <c r="L75" s="1171"/>
      <c r="M75" s="1175" t="str">
        <f t="shared" si="124"/>
        <v/>
      </c>
      <c r="N75" s="1026"/>
      <c r="O75" s="1176" t="str">
        <f t="shared" si="125"/>
        <v/>
      </c>
      <c r="P75" s="1170"/>
      <c r="Q75" s="1170" t="str">
        <f t="shared" si="126"/>
        <v/>
      </c>
      <c r="R75" s="1171"/>
      <c r="S75" s="1176" t="str">
        <f t="shared" si="127"/>
        <v/>
      </c>
      <c r="T75" s="1170"/>
      <c r="U75" s="1170" t="str">
        <f t="shared" si="128"/>
        <v/>
      </c>
      <c r="V75" s="1170"/>
      <c r="W75" s="1170" t="str">
        <f t="shared" si="129"/>
        <v/>
      </c>
      <c r="X75" s="1170"/>
      <c r="Y75" s="1170" t="str">
        <f t="shared" si="130"/>
        <v/>
      </c>
      <c r="Z75" s="1170"/>
      <c r="AA75" s="1170" t="str">
        <f t="shared" si="131"/>
        <v/>
      </c>
      <c r="AB75" s="1184"/>
      <c r="AC75" s="1029" t="str">
        <f t="shared" si="132"/>
        <v/>
      </c>
      <c r="AD75" s="1026"/>
      <c r="AE75" s="1180" t="str">
        <f t="shared" si="133"/>
        <v/>
      </c>
      <c r="AF75" s="1181"/>
      <c r="AG75" s="1177" t="str">
        <f t="shared" si="134"/>
        <v/>
      </c>
      <c r="AH75" s="1171"/>
      <c r="AI75" s="420" t="str">
        <f t="shared" si="147"/>
        <v/>
      </c>
      <c r="AJ75" s="418" t="str">
        <f t="shared" si="148"/>
        <v/>
      </c>
      <c r="AK75" s="92" t="str">
        <f t="shared" si="149"/>
        <v/>
      </c>
      <c r="AL75" s="630" t="str">
        <f t="shared" si="135"/>
        <v/>
      </c>
      <c r="AM75" s="655" t="str">
        <f t="shared" si="136"/>
        <v/>
      </c>
      <c r="AN75" s="653" t="str">
        <f t="shared" si="150"/>
        <v/>
      </c>
      <c r="AO75" s="92" t="str">
        <f t="shared" si="151"/>
        <v/>
      </c>
      <c r="AP75" s="654" t="str">
        <f t="shared" si="152"/>
        <v/>
      </c>
      <c r="AQ75" s="625">
        <v>0.7</v>
      </c>
      <c r="AR75" s="629">
        <f t="shared" si="153"/>
        <v>99.361415760618215</v>
      </c>
      <c r="AS75" s="629">
        <f t="shared" si="137"/>
        <v>103.76354114466687</v>
      </c>
      <c r="AT75" s="630">
        <f t="shared" si="138"/>
        <v>82.870662766944193</v>
      </c>
      <c r="AU75" s="111"/>
      <c r="AV75" s="338"/>
      <c r="AW75" s="91">
        <v>70</v>
      </c>
      <c r="AX75" s="160" t="e">
        <f t="shared" si="154"/>
        <v>#VALUE!</v>
      </c>
      <c r="AY75" s="59" t="e">
        <f t="shared" si="155"/>
        <v>#N/A</v>
      </c>
      <c r="AZ75" s="160">
        <f t="shared" si="171"/>
        <v>30</v>
      </c>
      <c r="BA75" s="91" t="e">
        <f t="shared" si="156"/>
        <v>#VALUE!</v>
      </c>
      <c r="BB75" s="85" t="str">
        <f t="shared" si="157"/>
        <v/>
      </c>
      <c r="BC75" s="59" t="str">
        <f t="shared" si="158"/>
        <v/>
      </c>
      <c r="BD75" s="678">
        <f t="shared" si="175"/>
        <v>1.4896251675238583</v>
      </c>
      <c r="BE75" s="59" t="e">
        <f t="shared" si="139"/>
        <v>#N/A</v>
      </c>
      <c r="BF75" s="67" t="str">
        <f t="shared" si="159"/>
        <v/>
      </c>
      <c r="BG75" s="59" t="str">
        <f t="shared" si="160"/>
        <v/>
      </c>
      <c r="BH75" s="678">
        <f t="shared" si="176"/>
        <v>1.0048449432093975</v>
      </c>
      <c r="BI75" s="59" t="e">
        <f t="shared" si="161"/>
        <v>#N/A</v>
      </c>
      <c r="BJ75" s="67" t="str">
        <f t="shared" si="162"/>
        <v/>
      </c>
      <c r="BK75" s="59" t="str">
        <f t="shared" si="163"/>
        <v/>
      </c>
      <c r="BL75" s="678">
        <f t="shared" si="177"/>
        <v>0.77362881414735685</v>
      </c>
      <c r="BM75" s="59"/>
      <c r="BN75" s="85">
        <f t="shared" si="172"/>
        <v>9.9361415760618215</v>
      </c>
      <c r="BO75" s="59">
        <f t="shared" si="173"/>
        <v>10.376354114466688</v>
      </c>
      <c r="BP75" s="59">
        <f t="shared" si="174"/>
        <v>8.2870662766944196</v>
      </c>
      <c r="BQ75" s="185" t="str">
        <f t="shared" si="164"/>
        <v/>
      </c>
      <c r="BR75" s="185" t="str">
        <f t="shared" si="165"/>
        <v/>
      </c>
      <c r="BS75" s="114" t="str">
        <f t="shared" si="140"/>
        <v/>
      </c>
      <c r="BT75" s="185" t="str">
        <f t="shared" si="166"/>
        <v/>
      </c>
      <c r="BU75" s="185" t="str">
        <f t="shared" si="141"/>
        <v/>
      </c>
      <c r="BV75" s="185" t="str">
        <f t="shared" si="142"/>
        <v/>
      </c>
      <c r="BW75" s="114" t="str">
        <f t="shared" si="143"/>
        <v/>
      </c>
      <c r="BX75" s="185" t="str">
        <f t="shared" si="167"/>
        <v/>
      </c>
      <c r="BY75" s="161"/>
      <c r="BZ75" s="161"/>
      <c r="CA75" s="161"/>
      <c r="CB75" s="161"/>
      <c r="CC75" s="161"/>
      <c r="CD75" s="161" t="str">
        <f t="shared" si="168"/>
        <v/>
      </c>
      <c r="CE75" s="161" t="str">
        <f t="shared" si="169"/>
        <v/>
      </c>
      <c r="CF75" s="161"/>
      <c r="CG75" s="161"/>
      <c r="CH75" s="1179" t="str">
        <f t="shared" si="144"/>
        <v/>
      </c>
      <c r="CI75" s="1179"/>
      <c r="CJ75" s="1179" t="str">
        <f t="shared" si="145"/>
        <v/>
      </c>
      <c r="CK75" s="1179"/>
      <c r="CL75" s="1179" t="str">
        <f t="shared" si="146"/>
        <v/>
      </c>
      <c r="CM75" s="1179"/>
    </row>
    <row r="76" spans="1:91">
      <c r="B76" s="247">
        <v>8</v>
      </c>
      <c r="C76" s="1025" t="str">
        <f t="shared" si="170"/>
        <v/>
      </c>
      <c r="D76" s="1178"/>
      <c r="E76" s="1029" t="str">
        <f t="shared" si="120"/>
        <v/>
      </c>
      <c r="F76" s="1025"/>
      <c r="G76" s="1170" t="str">
        <f t="shared" si="121"/>
        <v/>
      </c>
      <c r="H76" s="1170"/>
      <c r="I76" s="1170" t="str">
        <f t="shared" si="122"/>
        <v/>
      </c>
      <c r="J76" s="1170"/>
      <c r="K76" s="1170" t="str">
        <f t="shared" si="123"/>
        <v/>
      </c>
      <c r="L76" s="1171"/>
      <c r="M76" s="1175" t="str">
        <f t="shared" si="124"/>
        <v/>
      </c>
      <c r="N76" s="1026"/>
      <c r="O76" s="1176" t="str">
        <f t="shared" si="125"/>
        <v/>
      </c>
      <c r="P76" s="1170"/>
      <c r="Q76" s="1170" t="str">
        <f t="shared" si="126"/>
        <v/>
      </c>
      <c r="R76" s="1171"/>
      <c r="S76" s="1176" t="str">
        <f t="shared" si="127"/>
        <v/>
      </c>
      <c r="T76" s="1170"/>
      <c r="U76" s="1170" t="str">
        <f t="shared" si="128"/>
        <v/>
      </c>
      <c r="V76" s="1170"/>
      <c r="W76" s="1170" t="str">
        <f t="shared" si="129"/>
        <v/>
      </c>
      <c r="X76" s="1170"/>
      <c r="Y76" s="1170" t="str">
        <f t="shared" si="130"/>
        <v/>
      </c>
      <c r="Z76" s="1170"/>
      <c r="AA76" s="1170" t="str">
        <f t="shared" si="131"/>
        <v/>
      </c>
      <c r="AB76" s="1184"/>
      <c r="AC76" s="1029" t="str">
        <f t="shared" si="132"/>
        <v/>
      </c>
      <c r="AD76" s="1026"/>
      <c r="AE76" s="1180" t="str">
        <f t="shared" si="133"/>
        <v/>
      </c>
      <c r="AF76" s="1181"/>
      <c r="AG76" s="1177" t="str">
        <f t="shared" si="134"/>
        <v/>
      </c>
      <c r="AH76" s="1171"/>
      <c r="AI76" s="420" t="str">
        <f t="shared" si="147"/>
        <v/>
      </c>
      <c r="AJ76" s="418" t="str">
        <f t="shared" si="148"/>
        <v/>
      </c>
      <c r="AK76" s="92" t="str">
        <f t="shared" si="149"/>
        <v/>
      </c>
      <c r="AL76" s="630" t="str">
        <f t="shared" si="135"/>
        <v/>
      </c>
      <c r="AM76" s="655" t="str">
        <f t="shared" ref="AM76:AO80" si="178">IF(ISNUMBER($C76),IF(AND(ISNUMBER(BU76),$B76&lt;=$CD$45),BU76,""),"")</f>
        <v/>
      </c>
      <c r="AN76" s="653" t="str">
        <f t="shared" si="178"/>
        <v/>
      </c>
      <c r="AO76" s="92" t="str">
        <f t="shared" si="178"/>
        <v/>
      </c>
      <c r="AP76" s="654" t="str">
        <f>IF(ISNUMBER($C76),IF(AND(ISNUMBER(BX76),$B76&lt;=$CD$45),IF($X$7="cm",BX76,IF($X$7="mm",BX76*10,"")),""),"")</f>
        <v/>
      </c>
      <c r="AQ76" s="625">
        <v>0.8</v>
      </c>
      <c r="AR76" s="629">
        <f t="shared" si="153"/>
        <v>112.91863737003517</v>
      </c>
      <c r="AS76" s="629">
        <f t="shared" si="137"/>
        <v>113.08331226053573</v>
      </c>
      <c r="AT76" s="630">
        <f t="shared" si="138"/>
        <v>89.721538867403837</v>
      </c>
      <c r="AU76" s="111"/>
      <c r="AV76" s="338"/>
      <c r="AW76" s="91">
        <v>80</v>
      </c>
      <c r="AX76" s="160" t="e">
        <f t="shared" si="154"/>
        <v>#VALUE!</v>
      </c>
      <c r="AY76" s="59" t="e">
        <f t="shared" si="155"/>
        <v>#N/A</v>
      </c>
      <c r="AZ76" s="160">
        <f t="shared" si="171"/>
        <v>30</v>
      </c>
      <c r="BA76" s="91" t="e">
        <f t="shared" si="156"/>
        <v>#VALUE!</v>
      </c>
      <c r="BB76" s="85" t="str">
        <f t="shared" si="157"/>
        <v/>
      </c>
      <c r="BC76" s="59" t="str">
        <f t="shared" si="158"/>
        <v/>
      </c>
      <c r="BD76" s="678">
        <f t="shared" si="175"/>
        <v>1.3557221609416963</v>
      </c>
      <c r="BE76" s="59" t="e">
        <f t="shared" si="139"/>
        <v>#N/A</v>
      </c>
      <c r="BF76" s="67" t="str">
        <f t="shared" si="159"/>
        <v/>
      </c>
      <c r="BG76" s="59" t="str">
        <f t="shared" si="160"/>
        <v/>
      </c>
      <c r="BH76" s="678">
        <f t="shared" si="176"/>
        <v>0.9319771115868849</v>
      </c>
      <c r="BI76" s="59" t="e">
        <f t="shared" si="161"/>
        <v>#N/A</v>
      </c>
      <c r="BJ76" s="67" t="str">
        <f t="shared" si="162"/>
        <v/>
      </c>
      <c r="BK76" s="59" t="str">
        <f t="shared" si="163"/>
        <v/>
      </c>
      <c r="BL76" s="678">
        <f t="shared" si="177"/>
        <v>0.68508761004596241</v>
      </c>
      <c r="BM76" s="59"/>
      <c r="BN76" s="85">
        <f t="shared" si="172"/>
        <v>11.291863737003517</v>
      </c>
      <c r="BO76" s="59">
        <f t="shared" si="173"/>
        <v>11.308331226053573</v>
      </c>
      <c r="BP76" s="59">
        <f t="shared" si="174"/>
        <v>8.9721538867403829</v>
      </c>
      <c r="BQ76" s="185" t="str">
        <f t="shared" si="164"/>
        <v/>
      </c>
      <c r="BR76" s="185" t="str">
        <f t="shared" si="165"/>
        <v/>
      </c>
      <c r="BS76" s="114" t="str">
        <f t="shared" si="140"/>
        <v/>
      </c>
      <c r="BT76" s="185" t="str">
        <f t="shared" si="166"/>
        <v/>
      </c>
      <c r="BU76" s="185" t="str">
        <f t="shared" si="141"/>
        <v/>
      </c>
      <c r="BV76" s="185" t="str">
        <f t="shared" si="142"/>
        <v/>
      </c>
      <c r="BW76" s="114" t="str">
        <f t="shared" si="143"/>
        <v/>
      </c>
      <c r="BX76" s="185" t="str">
        <f t="shared" si="167"/>
        <v/>
      </c>
      <c r="BY76" s="161"/>
      <c r="BZ76" s="161"/>
      <c r="CA76" s="161"/>
      <c r="CB76" s="161"/>
      <c r="CC76" s="161"/>
      <c r="CD76" s="161" t="str">
        <f t="shared" si="168"/>
        <v/>
      </c>
      <c r="CE76" s="161" t="str">
        <f t="shared" si="169"/>
        <v/>
      </c>
      <c r="CF76" s="161"/>
      <c r="CG76" s="161"/>
      <c r="CH76" s="1179" t="str">
        <f t="shared" si="144"/>
        <v/>
      </c>
      <c r="CI76" s="1179"/>
      <c r="CJ76" s="1179" t="str">
        <f t="shared" si="145"/>
        <v/>
      </c>
      <c r="CK76" s="1179"/>
      <c r="CL76" s="1179" t="str">
        <f t="shared" si="146"/>
        <v/>
      </c>
      <c r="CM76" s="1179"/>
    </row>
    <row r="77" spans="1:91">
      <c r="B77" s="247">
        <v>9</v>
      </c>
      <c r="C77" s="1025" t="str">
        <f t="shared" si="170"/>
        <v/>
      </c>
      <c r="D77" s="1178"/>
      <c r="E77" s="1029" t="str">
        <f t="shared" si="120"/>
        <v/>
      </c>
      <c r="F77" s="1025"/>
      <c r="G77" s="1170" t="str">
        <f t="shared" si="121"/>
        <v/>
      </c>
      <c r="H77" s="1170"/>
      <c r="I77" s="1170" t="str">
        <f t="shared" si="122"/>
        <v/>
      </c>
      <c r="J77" s="1170"/>
      <c r="K77" s="1170" t="str">
        <f t="shared" si="123"/>
        <v/>
      </c>
      <c r="L77" s="1171"/>
      <c r="M77" s="1175" t="str">
        <f t="shared" si="124"/>
        <v/>
      </c>
      <c r="N77" s="1026"/>
      <c r="O77" s="1176" t="str">
        <f t="shared" si="125"/>
        <v/>
      </c>
      <c r="P77" s="1170"/>
      <c r="Q77" s="1170" t="str">
        <f t="shared" si="126"/>
        <v/>
      </c>
      <c r="R77" s="1171"/>
      <c r="S77" s="1176" t="str">
        <f t="shared" si="127"/>
        <v/>
      </c>
      <c r="T77" s="1170"/>
      <c r="U77" s="1170" t="str">
        <f t="shared" si="128"/>
        <v/>
      </c>
      <c r="V77" s="1170"/>
      <c r="W77" s="1170" t="str">
        <f t="shared" si="129"/>
        <v/>
      </c>
      <c r="X77" s="1170"/>
      <c r="Y77" s="1170" t="str">
        <f t="shared" si="130"/>
        <v/>
      </c>
      <c r="Z77" s="1170"/>
      <c r="AA77" s="1170" t="str">
        <f t="shared" si="131"/>
        <v/>
      </c>
      <c r="AB77" s="1184"/>
      <c r="AC77" s="1029" t="str">
        <f t="shared" si="132"/>
        <v/>
      </c>
      <c r="AD77" s="1026"/>
      <c r="AE77" s="1180" t="str">
        <f t="shared" si="133"/>
        <v/>
      </c>
      <c r="AF77" s="1181"/>
      <c r="AG77" s="1177" t="str">
        <f t="shared" si="134"/>
        <v/>
      </c>
      <c r="AH77" s="1171"/>
      <c r="AI77" s="420" t="str">
        <f t="shared" si="147"/>
        <v/>
      </c>
      <c r="AJ77" s="418" t="str">
        <f t="shared" si="148"/>
        <v/>
      </c>
      <c r="AK77" s="92" t="str">
        <f t="shared" si="149"/>
        <v/>
      </c>
      <c r="AL77" s="630" t="str">
        <f t="shared" si="135"/>
        <v/>
      </c>
      <c r="AM77" s="655" t="str">
        <f t="shared" si="178"/>
        <v/>
      </c>
      <c r="AN77" s="653" t="str">
        <f t="shared" si="178"/>
        <v/>
      </c>
      <c r="AO77" s="92" t="str">
        <f t="shared" si="178"/>
        <v/>
      </c>
      <c r="AP77" s="654" t="str">
        <f>IF(ISNUMBER($C77),IF(AND(ISNUMBER(BX77),$B77&lt;=$CD$45),IF($X$7="cm",BX77,IF($X$7="mm",BX77*10,"")),""),"")</f>
        <v/>
      </c>
      <c r="AQ77" s="625">
        <v>0.9</v>
      </c>
      <c r="AR77" s="629">
        <f t="shared" si="153"/>
        <v>125.13682891363052</v>
      </c>
      <c r="AS77" s="629">
        <f t="shared" si="137"/>
        <v>121.67440506017945</v>
      </c>
      <c r="AT77" s="630">
        <f t="shared" si="138"/>
        <v>95.687002926849516</v>
      </c>
      <c r="AU77" s="111"/>
      <c r="AV77" s="338"/>
      <c r="AW77" s="91">
        <v>90</v>
      </c>
      <c r="AX77" s="160" t="e">
        <f t="shared" si="154"/>
        <v>#VALUE!</v>
      </c>
      <c r="AY77" s="59">
        <f t="shared" si="155"/>
        <v>1.2218191543595343</v>
      </c>
      <c r="AZ77" s="160">
        <f t="shared" si="171"/>
        <v>30</v>
      </c>
      <c r="BA77" s="91" t="e">
        <f t="shared" si="156"/>
        <v>#VALUE!</v>
      </c>
      <c r="BB77" s="85" t="str">
        <f t="shared" si="157"/>
        <v/>
      </c>
      <c r="BC77" s="59">
        <f>IF(ISNUMBER(AY77),AY77,"")</f>
        <v>1.2218191543595343</v>
      </c>
      <c r="BD77" s="678">
        <f t="shared" si="175"/>
        <v>1.2218191543595343</v>
      </c>
      <c r="BE77" s="59">
        <f t="shared" si="139"/>
        <v>0.85910927996437236</v>
      </c>
      <c r="BF77" s="67" t="str">
        <f t="shared" si="159"/>
        <v/>
      </c>
      <c r="BG77" s="59">
        <f t="shared" si="160"/>
        <v>0.85910927996437236</v>
      </c>
      <c r="BH77" s="678">
        <f t="shared" si="176"/>
        <v>0.85910927996437236</v>
      </c>
      <c r="BI77" s="59">
        <f t="shared" si="161"/>
        <v>0.59654640594456809</v>
      </c>
      <c r="BJ77" s="67" t="str">
        <f t="shared" si="162"/>
        <v/>
      </c>
      <c r="BK77" s="59">
        <f t="shared" si="163"/>
        <v>0.59654640594456809</v>
      </c>
      <c r="BL77" s="678">
        <f t="shared" si="177"/>
        <v>0.59654640594456809</v>
      </c>
      <c r="BM77" s="59"/>
      <c r="BN77" s="85">
        <f t="shared" si="172"/>
        <v>12.513682891363052</v>
      </c>
      <c r="BO77" s="59">
        <f t="shared" si="173"/>
        <v>12.167440506017945</v>
      </c>
      <c r="BP77" s="59">
        <f t="shared" si="174"/>
        <v>9.5687002926849516</v>
      </c>
      <c r="BQ77" s="185" t="str">
        <f t="shared" si="164"/>
        <v/>
      </c>
      <c r="BR77" s="185" t="str">
        <f t="shared" si="165"/>
        <v/>
      </c>
      <c r="BS77" s="114" t="str">
        <f t="shared" si="140"/>
        <v/>
      </c>
      <c r="BT77" s="185" t="str">
        <f t="shared" si="166"/>
        <v/>
      </c>
      <c r="BU77" s="185" t="str">
        <f t="shared" si="141"/>
        <v/>
      </c>
      <c r="BV77" s="185" t="str">
        <f t="shared" si="142"/>
        <v/>
      </c>
      <c r="BW77" s="114" t="str">
        <f t="shared" si="143"/>
        <v/>
      </c>
      <c r="BX77" s="185" t="str">
        <f t="shared" si="167"/>
        <v/>
      </c>
      <c r="BY77" s="161"/>
      <c r="BZ77" s="161"/>
      <c r="CA77" s="161"/>
      <c r="CB77" s="161"/>
      <c r="CC77" s="161"/>
      <c r="CD77" s="161" t="str">
        <f t="shared" si="168"/>
        <v/>
      </c>
      <c r="CE77" s="161" t="str">
        <f t="shared" si="169"/>
        <v/>
      </c>
      <c r="CF77" s="161"/>
      <c r="CG77" s="161"/>
      <c r="CH77" s="1179" t="str">
        <f t="shared" si="144"/>
        <v/>
      </c>
      <c r="CI77" s="1179"/>
      <c r="CJ77" s="1179" t="str">
        <f t="shared" si="145"/>
        <v/>
      </c>
      <c r="CK77" s="1179"/>
      <c r="CL77" s="1179" t="str">
        <f t="shared" si="146"/>
        <v/>
      </c>
      <c r="CM77" s="1179"/>
    </row>
    <row r="78" spans="1:91" ht="15" thickBot="1">
      <c r="B78" s="247">
        <v>10</v>
      </c>
      <c r="C78" s="1025" t="str">
        <f t="shared" si="170"/>
        <v/>
      </c>
      <c r="D78" s="1178"/>
      <c r="E78" s="1029" t="str">
        <f t="shared" si="120"/>
        <v/>
      </c>
      <c r="F78" s="1025"/>
      <c r="G78" s="1170" t="str">
        <f t="shared" si="121"/>
        <v/>
      </c>
      <c r="H78" s="1170"/>
      <c r="I78" s="1170" t="str">
        <f t="shared" si="122"/>
        <v/>
      </c>
      <c r="J78" s="1170"/>
      <c r="K78" s="1170" t="str">
        <f t="shared" si="123"/>
        <v/>
      </c>
      <c r="L78" s="1171"/>
      <c r="M78" s="1175" t="str">
        <f t="shared" si="124"/>
        <v/>
      </c>
      <c r="N78" s="1026"/>
      <c r="O78" s="1176" t="str">
        <f t="shared" si="125"/>
        <v/>
      </c>
      <c r="P78" s="1170"/>
      <c r="Q78" s="1170" t="str">
        <f t="shared" si="126"/>
        <v/>
      </c>
      <c r="R78" s="1171"/>
      <c r="S78" s="1176" t="str">
        <f t="shared" si="127"/>
        <v/>
      </c>
      <c r="T78" s="1170"/>
      <c r="U78" s="1170" t="str">
        <f t="shared" si="128"/>
        <v/>
      </c>
      <c r="V78" s="1170"/>
      <c r="W78" s="1170" t="str">
        <f t="shared" si="129"/>
        <v/>
      </c>
      <c r="X78" s="1170"/>
      <c r="Y78" s="1170" t="str">
        <f t="shared" si="130"/>
        <v/>
      </c>
      <c r="Z78" s="1170"/>
      <c r="AA78" s="1170" t="str">
        <f t="shared" si="131"/>
        <v/>
      </c>
      <c r="AB78" s="1184"/>
      <c r="AC78" s="1029" t="str">
        <f t="shared" si="132"/>
        <v/>
      </c>
      <c r="AD78" s="1026"/>
      <c r="AE78" s="1180" t="str">
        <f t="shared" si="133"/>
        <v/>
      </c>
      <c r="AF78" s="1181"/>
      <c r="AG78" s="1177" t="str">
        <f t="shared" si="134"/>
        <v/>
      </c>
      <c r="AH78" s="1171"/>
      <c r="AI78" s="420" t="str">
        <f t="shared" si="147"/>
        <v/>
      </c>
      <c r="AJ78" s="418" t="str">
        <f t="shared" si="148"/>
        <v/>
      </c>
      <c r="AK78" s="92" t="str">
        <f t="shared" si="149"/>
        <v/>
      </c>
      <c r="AL78" s="630" t="str">
        <f t="shared" si="135"/>
        <v/>
      </c>
      <c r="AM78" s="655" t="str">
        <f t="shared" si="178"/>
        <v/>
      </c>
      <c r="AN78" s="653" t="str">
        <f t="shared" si="178"/>
        <v/>
      </c>
      <c r="AO78" s="92" t="str">
        <f t="shared" si="178"/>
        <v/>
      </c>
      <c r="AP78" s="654" t="str">
        <f>IF(ISNUMBER($C78),IF(AND(ISNUMBER(BX78),$B78&lt;=$CD$45),IF($X$7="cm",BX78,IF($X$7="mm",BX78*10,"")),""),"")</f>
        <v/>
      </c>
      <c r="AQ78" s="655">
        <v>1</v>
      </c>
      <c r="AR78" s="632">
        <f t="shared" si="153"/>
        <v>136.01599039140424</v>
      </c>
      <c r="AS78" s="632">
        <f t="shared" si="137"/>
        <v>129.53681954359806</v>
      </c>
      <c r="AT78" s="654">
        <f t="shared" si="138"/>
        <v>100.76705494528126</v>
      </c>
      <c r="AU78" s="111"/>
      <c r="AV78" s="338"/>
      <c r="AW78" s="91">
        <v>100</v>
      </c>
      <c r="AX78" s="160" t="e">
        <f t="shared" si="154"/>
        <v>#VALUE!</v>
      </c>
      <c r="AY78" s="59" t="e">
        <f t="shared" si="155"/>
        <v>#N/A</v>
      </c>
      <c r="AZ78" s="160">
        <f t="shared" si="171"/>
        <v>30</v>
      </c>
      <c r="BA78" s="91" t="e">
        <f t="shared" si="156"/>
        <v>#VALUE!</v>
      </c>
      <c r="BB78" s="85" t="str">
        <f t="shared" si="157"/>
        <v/>
      </c>
      <c r="BC78" s="622" t="str">
        <f t="shared" ref="BC78:BC84" si="179">IF(ISNUMBER(AY78),AY78,"")</f>
        <v/>
      </c>
      <c r="BD78" s="678">
        <f t="shared" si="175"/>
        <v>1.0879161477773722</v>
      </c>
      <c r="BE78" s="59" t="e">
        <f t="shared" si="139"/>
        <v>#N/A</v>
      </c>
      <c r="BF78" s="67" t="str">
        <f t="shared" si="159"/>
        <v/>
      </c>
      <c r="BG78" s="59" t="str">
        <f t="shared" si="160"/>
        <v/>
      </c>
      <c r="BH78" s="678">
        <f t="shared" si="176"/>
        <v>0.78624144834185983</v>
      </c>
      <c r="BI78" s="59" t="e">
        <f t="shared" si="161"/>
        <v>#N/A</v>
      </c>
      <c r="BJ78" s="67" t="str">
        <f t="shared" si="162"/>
        <v/>
      </c>
      <c r="BK78" s="59" t="str">
        <f t="shared" si="163"/>
        <v/>
      </c>
      <c r="BL78" s="678">
        <f t="shared" si="177"/>
        <v>0.50800520184317377</v>
      </c>
      <c r="BM78" s="59"/>
      <c r="BN78" s="85">
        <f t="shared" si="172"/>
        <v>13.601599039140424</v>
      </c>
      <c r="BO78" s="59">
        <f t="shared" si="173"/>
        <v>12.953681954359805</v>
      </c>
      <c r="BP78" s="59">
        <f t="shared" si="174"/>
        <v>10.076705494528126</v>
      </c>
      <c r="BQ78" s="185" t="str">
        <f t="shared" si="164"/>
        <v/>
      </c>
      <c r="BR78" s="185" t="str">
        <f t="shared" si="165"/>
        <v/>
      </c>
      <c r="BS78" s="114" t="str">
        <f t="shared" si="140"/>
        <v/>
      </c>
      <c r="BT78" s="185" t="str">
        <f t="shared" si="166"/>
        <v/>
      </c>
      <c r="BU78" s="185" t="str">
        <f t="shared" si="141"/>
        <v/>
      </c>
      <c r="BV78" s="185" t="str">
        <f t="shared" si="142"/>
        <v/>
      </c>
      <c r="BW78" s="114" t="str">
        <f t="shared" si="143"/>
        <v/>
      </c>
      <c r="BX78" s="185" t="str">
        <f t="shared" si="167"/>
        <v/>
      </c>
      <c r="BY78" s="161"/>
      <c r="BZ78" s="161"/>
      <c r="CA78" s="161"/>
      <c r="CB78" s="161"/>
      <c r="CC78" s="161"/>
      <c r="CD78" s="161" t="str">
        <f t="shared" si="168"/>
        <v/>
      </c>
      <c r="CE78" s="161" t="str">
        <f t="shared" si="169"/>
        <v/>
      </c>
      <c r="CF78" s="161"/>
      <c r="CG78" s="161"/>
      <c r="CH78" s="1179" t="str">
        <f t="shared" si="144"/>
        <v/>
      </c>
      <c r="CI78" s="1179"/>
      <c r="CJ78" s="1179" t="str">
        <f t="shared" si="145"/>
        <v/>
      </c>
      <c r="CK78" s="1179"/>
      <c r="CL78" s="1179" t="str">
        <f t="shared" si="146"/>
        <v/>
      </c>
      <c r="CM78" s="1179"/>
    </row>
    <row r="79" spans="1:91" ht="15" customHeight="1">
      <c r="B79" s="247">
        <v>11</v>
      </c>
      <c r="C79" s="1025" t="str">
        <f>AE22</f>
        <v/>
      </c>
      <c r="D79" s="1178"/>
      <c r="E79" s="1029" t="str">
        <f t="shared" si="120"/>
        <v/>
      </c>
      <c r="F79" s="1025"/>
      <c r="G79" s="1170" t="str">
        <f t="shared" si="121"/>
        <v/>
      </c>
      <c r="H79" s="1170"/>
      <c r="I79" s="1170" t="str">
        <f t="shared" si="122"/>
        <v/>
      </c>
      <c r="J79" s="1170"/>
      <c r="K79" s="1170" t="str">
        <f t="shared" si="123"/>
        <v/>
      </c>
      <c r="L79" s="1171"/>
      <c r="M79" s="1175" t="str">
        <f t="shared" si="124"/>
        <v/>
      </c>
      <c r="N79" s="1026"/>
      <c r="O79" s="1176" t="str">
        <f t="shared" si="125"/>
        <v/>
      </c>
      <c r="P79" s="1170"/>
      <c r="Q79" s="1170" t="str">
        <f t="shared" si="126"/>
        <v/>
      </c>
      <c r="R79" s="1171"/>
      <c r="S79" s="1176" t="str">
        <f t="shared" si="127"/>
        <v/>
      </c>
      <c r="T79" s="1170"/>
      <c r="U79" s="1170" t="str">
        <f t="shared" si="128"/>
        <v/>
      </c>
      <c r="V79" s="1170"/>
      <c r="W79" s="1170" t="str">
        <f t="shared" si="129"/>
        <v/>
      </c>
      <c r="X79" s="1170"/>
      <c r="Y79" s="1170" t="str">
        <f t="shared" si="130"/>
        <v/>
      </c>
      <c r="Z79" s="1170"/>
      <c r="AA79" s="1170" t="str">
        <f t="shared" si="131"/>
        <v/>
      </c>
      <c r="AB79" s="1184"/>
      <c r="AC79" s="1029" t="str">
        <f t="shared" si="132"/>
        <v/>
      </c>
      <c r="AD79" s="1026"/>
      <c r="AE79" s="1180" t="str">
        <f t="shared" si="133"/>
        <v/>
      </c>
      <c r="AF79" s="1181"/>
      <c r="AG79" s="1177" t="str">
        <f t="shared" si="134"/>
        <v/>
      </c>
      <c r="AH79" s="1171"/>
      <c r="AI79" s="420" t="str">
        <f t="shared" si="147"/>
        <v/>
      </c>
      <c r="AJ79" s="418" t="str">
        <f t="shared" si="148"/>
        <v/>
      </c>
      <c r="AK79" s="92" t="str">
        <f t="shared" si="149"/>
        <v/>
      </c>
      <c r="AL79" s="630" t="str">
        <f t="shared" si="135"/>
        <v/>
      </c>
      <c r="AM79" s="655" t="str">
        <f t="shared" si="178"/>
        <v/>
      </c>
      <c r="AN79" s="653" t="str">
        <f t="shared" si="178"/>
        <v/>
      </c>
      <c r="AO79" s="92" t="str">
        <f t="shared" si="178"/>
        <v/>
      </c>
      <c r="AP79" s="654" t="str">
        <f>IF(ISNUMBER($C79),IF(AND(ISNUMBER(BX79),$B79&lt;=$CD$45),IF($X$7="cm",BX79,IF($X$7="mm",BX79*10,"")),""),"")</f>
        <v/>
      </c>
      <c r="AQ79" s="664">
        <v>1.1000000000000001</v>
      </c>
      <c r="AR79" s="1160" t="str">
        <f>IF(OR(AQ69&lt;0,AR69&lt;0,AS69&lt;0),"Difference between Wmax and Wmin is negative (see highlighted values), some input data may be incorrect","")</f>
        <v/>
      </c>
      <c r="AS79" s="1160"/>
      <c r="AT79" s="662" t="str">
        <f t="shared" si="138"/>
        <v/>
      </c>
      <c r="AU79" s="647"/>
      <c r="AV79" s="184"/>
      <c r="AW79" s="91">
        <v>110</v>
      </c>
      <c r="AX79" s="160" t="e">
        <f t="shared" si="154"/>
        <v>#VALUE!</v>
      </c>
      <c r="AY79" s="59" t="e">
        <f t="shared" si="155"/>
        <v>#N/A</v>
      </c>
      <c r="AZ79" s="160">
        <f t="shared" si="171"/>
        <v>30</v>
      </c>
      <c r="BA79" s="91" t="e">
        <f t="shared" si="156"/>
        <v>#VALUE!</v>
      </c>
      <c r="BB79" s="85" t="str">
        <f t="shared" si="157"/>
        <v/>
      </c>
      <c r="BC79" s="622" t="str">
        <f t="shared" si="179"/>
        <v/>
      </c>
      <c r="BD79" s="678" t="e">
        <f t="shared" si="175"/>
        <v>#VALUE!</v>
      </c>
      <c r="BE79" s="59" t="e">
        <f t="shared" si="139"/>
        <v>#N/A</v>
      </c>
      <c r="BF79" s="67" t="str">
        <f t="shared" si="159"/>
        <v/>
      </c>
      <c r="BG79" s="59" t="str">
        <f t="shared" si="160"/>
        <v/>
      </c>
      <c r="BH79" s="678" t="e">
        <f t="shared" si="176"/>
        <v>#VALUE!</v>
      </c>
      <c r="BI79" s="59" t="e">
        <f t="shared" si="161"/>
        <v>#N/A</v>
      </c>
      <c r="BJ79" s="67" t="str">
        <f t="shared" si="162"/>
        <v/>
      </c>
      <c r="BK79" s="59" t="str">
        <f t="shared" si="163"/>
        <v/>
      </c>
      <c r="BL79" s="678" t="e">
        <f t="shared" si="177"/>
        <v>#VALUE!</v>
      </c>
      <c r="BM79" s="59"/>
      <c r="BN79" s="85" t="e">
        <f t="shared" si="172"/>
        <v>#VALUE!</v>
      </c>
      <c r="BO79" s="59" t="e">
        <f t="shared" si="173"/>
        <v>#VALUE!</v>
      </c>
      <c r="BP79" s="59" t="e">
        <f>BP78+BL79</f>
        <v>#VALUE!</v>
      </c>
      <c r="BQ79" s="185" t="str">
        <f t="shared" si="164"/>
        <v/>
      </c>
      <c r="BR79" s="185" t="str">
        <f t="shared" si="165"/>
        <v/>
      </c>
      <c r="BS79" s="114" t="str">
        <f t="shared" si="140"/>
        <v/>
      </c>
      <c r="BT79" s="185" t="str">
        <f t="shared" si="166"/>
        <v/>
      </c>
      <c r="BU79" s="185" t="str">
        <f t="shared" si="141"/>
        <v/>
      </c>
      <c r="BV79" s="185" t="str">
        <f t="shared" si="142"/>
        <v/>
      </c>
      <c r="BW79" s="114" t="str">
        <f t="shared" si="143"/>
        <v/>
      </c>
      <c r="BX79" s="185" t="str">
        <f t="shared" si="167"/>
        <v/>
      </c>
      <c r="BY79" s="161"/>
      <c r="BZ79" s="161"/>
      <c r="CA79" s="161"/>
      <c r="CB79" s="161"/>
      <c r="CC79" s="161"/>
      <c r="CD79" s="161" t="str">
        <f t="shared" si="168"/>
        <v/>
      </c>
      <c r="CE79" s="161" t="str">
        <f>IF(ISNUMBER(C79),C79*100-100,"")</f>
        <v/>
      </c>
      <c r="CF79" s="161"/>
      <c r="CG79" s="161"/>
      <c r="CH79" s="1179" t="str">
        <f t="shared" si="144"/>
        <v/>
      </c>
      <c r="CI79" s="1179"/>
      <c r="CJ79" s="1179" t="str">
        <f t="shared" si="145"/>
        <v/>
      </c>
      <c r="CK79" s="1179"/>
      <c r="CL79" s="1179" t="str">
        <f t="shared" si="146"/>
        <v/>
      </c>
      <c r="CM79" s="1179"/>
    </row>
    <row r="80" spans="1:91" ht="15" thickBot="1">
      <c r="B80" s="248">
        <v>12</v>
      </c>
      <c r="C80" s="1032" t="str">
        <f>AE23</f>
        <v/>
      </c>
      <c r="D80" s="1054"/>
      <c r="E80" s="1031" t="str">
        <f t="shared" si="120"/>
        <v/>
      </c>
      <c r="F80" s="1032"/>
      <c r="G80" s="1182" t="str">
        <f t="shared" si="121"/>
        <v/>
      </c>
      <c r="H80" s="1182"/>
      <c r="I80" s="1182" t="str">
        <f t="shared" si="122"/>
        <v/>
      </c>
      <c r="J80" s="1182"/>
      <c r="K80" s="1182" t="str">
        <f t="shared" si="123"/>
        <v/>
      </c>
      <c r="L80" s="1183"/>
      <c r="M80" s="1186" t="str">
        <f t="shared" si="124"/>
        <v/>
      </c>
      <c r="N80" s="1054"/>
      <c r="O80" s="1187" t="str">
        <f t="shared" si="125"/>
        <v/>
      </c>
      <c r="P80" s="1182"/>
      <c r="Q80" s="1182" t="str">
        <f t="shared" si="126"/>
        <v/>
      </c>
      <c r="R80" s="1183"/>
      <c r="S80" s="1187" t="str">
        <f t="shared" si="127"/>
        <v/>
      </c>
      <c r="T80" s="1182"/>
      <c r="U80" s="1182" t="str">
        <f t="shared" si="128"/>
        <v/>
      </c>
      <c r="V80" s="1182"/>
      <c r="W80" s="1182" t="str">
        <f t="shared" si="129"/>
        <v/>
      </c>
      <c r="X80" s="1182"/>
      <c r="Y80" s="1182" t="str">
        <f t="shared" si="130"/>
        <v/>
      </c>
      <c r="Z80" s="1182"/>
      <c r="AA80" s="1182" t="str">
        <f t="shared" si="131"/>
        <v/>
      </c>
      <c r="AB80" s="1188"/>
      <c r="AC80" s="1031" t="str">
        <f t="shared" si="132"/>
        <v/>
      </c>
      <c r="AD80" s="1054"/>
      <c r="AE80" s="1189" t="str">
        <f t="shared" si="133"/>
        <v/>
      </c>
      <c r="AF80" s="1190"/>
      <c r="AG80" s="1187" t="str">
        <f t="shared" si="134"/>
        <v/>
      </c>
      <c r="AH80" s="1183"/>
      <c r="AI80" s="633" t="str">
        <f t="shared" si="147"/>
        <v/>
      </c>
      <c r="AJ80" s="632" t="str">
        <f t="shared" si="148"/>
        <v/>
      </c>
      <c r="AK80" s="178" t="str">
        <f t="shared" si="149"/>
        <v/>
      </c>
      <c r="AL80" s="631" t="str">
        <f t="shared" si="135"/>
        <v/>
      </c>
      <c r="AM80" s="656" t="str">
        <f t="shared" si="178"/>
        <v/>
      </c>
      <c r="AN80" s="657" t="str">
        <f t="shared" si="178"/>
        <v/>
      </c>
      <c r="AO80" s="178" t="str">
        <f t="shared" si="178"/>
        <v/>
      </c>
      <c r="AP80" s="658" t="str">
        <f>IF(ISNUMBER($C80),IF(AND(ISNUMBER(BX80),$B80&lt;=$CD$45),IF($X$7="cm",BX80,IF($X$7="mm",BX80*10,"")),""),"")</f>
        <v/>
      </c>
      <c r="AQ80" s="663">
        <v>1.2</v>
      </c>
      <c r="AR80" s="1161"/>
      <c r="AS80" s="1161"/>
      <c r="AT80" s="663" t="str">
        <f t="shared" si="138"/>
        <v/>
      </c>
      <c r="AU80" s="647"/>
      <c r="AV80" s="184"/>
      <c r="AW80" s="91">
        <v>120</v>
      </c>
      <c r="AX80" s="160" t="e">
        <f t="shared" si="154"/>
        <v>#VALUE!</v>
      </c>
      <c r="AY80" s="59" t="e">
        <f t="shared" si="155"/>
        <v>#N/A</v>
      </c>
      <c r="AZ80" s="160">
        <f t="shared" si="171"/>
        <v>30</v>
      </c>
      <c r="BA80" s="91" t="e">
        <f t="shared" si="156"/>
        <v>#VALUE!</v>
      </c>
      <c r="BB80" s="85" t="str">
        <f t="shared" si="157"/>
        <v/>
      </c>
      <c r="BC80" s="622" t="str">
        <f t="shared" si="179"/>
        <v/>
      </c>
      <c r="BD80" s="678" t="e">
        <f t="shared" si="175"/>
        <v>#VALUE!</v>
      </c>
      <c r="BE80" s="59" t="e">
        <f t="shared" si="139"/>
        <v>#N/A</v>
      </c>
      <c r="BF80" s="67" t="str">
        <f t="shared" si="159"/>
        <v/>
      </c>
      <c r="BG80" s="59" t="str">
        <f t="shared" si="160"/>
        <v/>
      </c>
      <c r="BH80" s="678" t="e">
        <f t="shared" si="176"/>
        <v>#VALUE!</v>
      </c>
      <c r="BI80" s="59" t="e">
        <f t="shared" si="161"/>
        <v>#N/A</v>
      </c>
      <c r="BJ80" s="67" t="str">
        <f t="shared" si="162"/>
        <v/>
      </c>
      <c r="BK80" s="59" t="str">
        <f t="shared" si="163"/>
        <v/>
      </c>
      <c r="BL80" s="678" t="e">
        <f t="shared" si="177"/>
        <v>#VALUE!</v>
      </c>
      <c r="BM80" s="59"/>
      <c r="BN80" s="85" t="e">
        <f t="shared" si="172"/>
        <v>#VALUE!</v>
      </c>
      <c r="BO80" s="59" t="e">
        <f t="shared" si="173"/>
        <v>#VALUE!</v>
      </c>
      <c r="BP80" s="59" t="e">
        <f t="shared" si="174"/>
        <v>#VALUE!</v>
      </c>
      <c r="BQ80" s="185" t="str">
        <f t="shared" si="164"/>
        <v/>
      </c>
      <c r="BR80" s="185" t="str">
        <f t="shared" si="165"/>
        <v/>
      </c>
      <c r="BS80" s="114" t="str">
        <f t="shared" si="140"/>
        <v/>
      </c>
      <c r="BT80" s="185" t="str">
        <f t="shared" si="166"/>
        <v/>
      </c>
      <c r="BU80" s="185" t="str">
        <f t="shared" si="141"/>
        <v/>
      </c>
      <c r="BV80" s="185" t="str">
        <f t="shared" si="142"/>
        <v/>
      </c>
      <c r="BW80" s="114" t="str">
        <f t="shared" si="143"/>
        <v/>
      </c>
      <c r="BX80" s="185" t="str">
        <f t="shared" si="167"/>
        <v/>
      </c>
      <c r="BY80" s="161"/>
      <c r="BZ80" s="161"/>
      <c r="CA80" s="161"/>
      <c r="CB80" s="161"/>
      <c r="CC80" s="161"/>
      <c r="CD80" s="161"/>
      <c r="CE80" s="161" t="str">
        <f t="shared" si="169"/>
        <v/>
      </c>
      <c r="CF80" s="161"/>
      <c r="CG80" s="161"/>
      <c r="CH80" s="1179" t="str">
        <f t="shared" si="144"/>
        <v/>
      </c>
      <c r="CI80" s="1179"/>
      <c r="CJ80" s="1179" t="str">
        <f t="shared" si="145"/>
        <v/>
      </c>
      <c r="CK80" s="1179"/>
      <c r="CL80" s="1179" t="str">
        <f t="shared" si="146"/>
        <v/>
      </c>
      <c r="CM80" s="1179"/>
    </row>
    <row r="81" spans="2:91">
      <c r="B81" s="169"/>
      <c r="C81" s="161"/>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14"/>
      <c r="AL81" s="161"/>
      <c r="AM81" s="161"/>
      <c r="AN81" s="161"/>
      <c r="AO81" s="161"/>
      <c r="AP81" s="161"/>
      <c r="AQ81" s="661"/>
      <c r="AR81" s="1161"/>
      <c r="AS81" s="1161"/>
      <c r="AT81" s="661"/>
      <c r="AU81" s="647"/>
      <c r="AV81" s="161"/>
      <c r="AW81" s="91">
        <v>130</v>
      </c>
      <c r="AX81" s="160">
        <f t="shared" si="154"/>
        <v>0</v>
      </c>
      <c r="AY81" s="59" t="e">
        <f t="shared" si="155"/>
        <v>#N/A</v>
      </c>
      <c r="AZ81" s="160">
        <f t="shared" si="171"/>
        <v>30</v>
      </c>
      <c r="BA81" s="91">
        <f t="shared" si="156"/>
        <v>0</v>
      </c>
      <c r="BB81" s="85" t="str">
        <f t="shared" si="157"/>
        <v/>
      </c>
      <c r="BC81" s="622" t="str">
        <f t="shared" si="179"/>
        <v/>
      </c>
      <c r="BD81" s="678" t="e">
        <f t="shared" si="175"/>
        <v>#VALUE!</v>
      </c>
      <c r="BE81" s="59" t="e">
        <f t="shared" si="139"/>
        <v>#N/A</v>
      </c>
      <c r="BF81" s="67" t="str">
        <f>IF(ISNUMBER(AK81),((AJ81/100)-(AI81/100))*(AK81/1000*10),"")</f>
        <v/>
      </c>
      <c r="BG81" s="59"/>
      <c r="BH81" s="678" t="str">
        <f t="shared" si="176"/>
        <v/>
      </c>
      <c r="BI81" s="59" t="e">
        <f t="shared" si="161"/>
        <v>#N/A</v>
      </c>
      <c r="BJ81" s="59"/>
      <c r="BK81" s="59"/>
      <c r="BL81" s="678" t="str">
        <f t="shared" si="177"/>
        <v/>
      </c>
      <c r="BM81" s="59"/>
      <c r="BN81" s="59"/>
      <c r="BO81" s="59"/>
      <c r="BP81" s="59"/>
      <c r="BQ81" s="161"/>
      <c r="BR81" s="161"/>
      <c r="BS81" s="161"/>
      <c r="BT81" s="161"/>
      <c r="BU81" s="161"/>
      <c r="BV81" s="161"/>
      <c r="BW81" s="161"/>
      <c r="BX81" s="161"/>
      <c r="BY81" s="161"/>
      <c r="BZ81" s="161"/>
      <c r="CA81" s="161"/>
      <c r="CB81" s="161"/>
      <c r="CC81" s="161"/>
      <c r="CD81" s="161">
        <f>MATCH(0,CD69:CD77,1)</f>
        <v>5</v>
      </c>
      <c r="CE81" s="161">
        <f>MATCH(0,CE69:CE77,1)</f>
        <v>5</v>
      </c>
      <c r="CF81" s="161"/>
      <c r="CG81" s="161"/>
      <c r="CH81" s="161"/>
      <c r="CI81" s="161"/>
      <c r="CJ81" s="161"/>
      <c r="CK81" s="161"/>
      <c r="CL81" s="161"/>
      <c r="CM81" s="161"/>
    </row>
    <row r="82" spans="2:91" ht="15" thickBot="1">
      <c r="B82" s="54"/>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185"/>
      <c r="AS82" s="1185"/>
      <c r="AT82" s="170"/>
      <c r="AU82" s="171"/>
      <c r="AV82" s="161"/>
      <c r="AW82" s="91">
        <v>140</v>
      </c>
      <c r="AX82" s="160">
        <f t="shared" si="154"/>
        <v>0</v>
      </c>
      <c r="AY82" s="59" t="e">
        <f t="shared" si="155"/>
        <v>#N/A</v>
      </c>
      <c r="AZ82" s="160">
        <f t="shared" si="171"/>
        <v>30</v>
      </c>
      <c r="BA82" s="91">
        <f t="shared" si="156"/>
        <v>0</v>
      </c>
      <c r="BB82" s="59"/>
      <c r="BC82" s="622" t="str">
        <f t="shared" si="179"/>
        <v/>
      </c>
      <c r="BD82" s="678" t="e">
        <f t="shared" si="175"/>
        <v>#VALUE!</v>
      </c>
      <c r="BE82" s="59" t="e">
        <f t="shared" si="139"/>
        <v>#N/A</v>
      </c>
      <c r="BF82" s="59"/>
      <c r="BG82" s="59"/>
      <c r="BH82" s="678" t="str">
        <f t="shared" si="176"/>
        <v/>
      </c>
      <c r="BI82" s="59" t="e">
        <f t="shared" si="161"/>
        <v>#N/A</v>
      </c>
      <c r="BJ82" s="59"/>
      <c r="BK82" s="59"/>
      <c r="BL82" s="678" t="str">
        <f t="shared" si="177"/>
        <v/>
      </c>
      <c r="BM82" s="59"/>
      <c r="BN82" s="59"/>
      <c r="BO82" s="59"/>
      <c r="BP82" s="59"/>
      <c r="BQ82" s="161"/>
      <c r="BR82" s="161"/>
      <c r="BS82" s="161"/>
      <c r="BT82" s="161"/>
      <c r="BU82" s="161"/>
      <c r="BV82" s="161"/>
      <c r="BW82" s="161"/>
      <c r="BX82" s="161"/>
      <c r="BY82" s="161"/>
      <c r="BZ82" s="161"/>
      <c r="CA82" s="161"/>
      <c r="CB82" s="161"/>
      <c r="CC82" s="161"/>
      <c r="CD82" s="161"/>
      <c r="CE82" s="161"/>
      <c r="CF82" s="161"/>
      <c r="CG82" s="161"/>
      <c r="CH82" s="161"/>
      <c r="CI82" s="161"/>
      <c r="CJ82" s="161"/>
      <c r="CK82" s="161"/>
      <c r="CL82" s="161"/>
      <c r="CM82" s="161"/>
    </row>
    <row r="83" spans="2:91" s="157" customFormat="1">
      <c r="AW83" s="333">
        <v>150</v>
      </c>
      <c r="AX83" s="157">
        <f t="shared" si="154"/>
        <v>0</v>
      </c>
      <c r="AY83" s="157" t="e">
        <f t="shared" si="155"/>
        <v>#N/A</v>
      </c>
      <c r="AZ83" s="157">
        <f t="shared" si="171"/>
        <v>30</v>
      </c>
      <c r="BA83" s="91">
        <f>ROUND(C83*10,0)*10</f>
        <v>0</v>
      </c>
      <c r="BC83" s="622" t="str">
        <f t="shared" si="179"/>
        <v/>
      </c>
      <c r="BD83" s="678" t="e">
        <f t="shared" si="175"/>
        <v>#VALUE!</v>
      </c>
      <c r="BE83" s="157" t="e">
        <f t="shared" si="139"/>
        <v>#N/A</v>
      </c>
      <c r="BH83" s="678" t="str">
        <f t="shared" si="176"/>
        <v/>
      </c>
      <c r="BI83" s="157" t="e">
        <f t="shared" si="161"/>
        <v>#N/A</v>
      </c>
      <c r="BL83" s="678" t="str">
        <f t="shared" si="177"/>
        <v/>
      </c>
      <c r="BQ83" s="162"/>
      <c r="BR83" s="162"/>
      <c r="BS83" s="162"/>
      <c r="BT83" s="162"/>
      <c r="BU83" s="162"/>
      <c r="BV83" s="162"/>
      <c r="BW83" s="162"/>
      <c r="BX83" s="162"/>
      <c r="BY83" s="162"/>
      <c r="BZ83" s="162"/>
      <c r="CA83" s="162"/>
      <c r="CB83" s="162"/>
      <c r="CC83" s="162"/>
      <c r="CD83" s="162"/>
      <c r="CE83" s="162"/>
      <c r="CF83" s="162"/>
      <c r="CG83" s="162"/>
      <c r="CH83" s="162"/>
      <c r="CI83" s="162"/>
      <c r="CJ83" s="162"/>
      <c r="CK83" s="162"/>
      <c r="CL83" s="162"/>
      <c r="CM83" s="162"/>
    </row>
    <row r="84" spans="2:91" s="157" customFormat="1">
      <c r="AW84" s="333">
        <v>160</v>
      </c>
      <c r="AX84" s="157">
        <f t="shared" si="154"/>
        <v>0</v>
      </c>
      <c r="AY84" s="157" t="e">
        <f t="shared" si="155"/>
        <v>#N/A</v>
      </c>
      <c r="BC84" s="622" t="str">
        <f t="shared" si="179"/>
        <v/>
      </c>
      <c r="BE84" s="157" t="e">
        <f t="shared" si="139"/>
        <v>#N/A</v>
      </c>
      <c r="BI84" s="157" t="e">
        <f t="shared" si="161"/>
        <v>#N/A</v>
      </c>
    </row>
    <row r="85" spans="2:91" s="157" customFormat="1">
      <c r="BI85" s="157">
        <f t="shared" si="161"/>
        <v>0</v>
      </c>
    </row>
  </sheetData>
  <sheetProtection algorithmName="SHA-512" hashValue="hrUAWVwvTgvy6OVIhkrcixcT+oeHipZ6KtTNRNEzBYeXqEeHvXXv5aoGXf7B8szfcIMk0x7wztZcVIy6fmsUfA==" saltValue="6NK4+5YRhd47EYsUto90hw==" spinCount="100000" sheet="1" objects="1" scenarios="1"/>
  <protectedRanges>
    <protectedRange sqref="AA12:AB23 AN12:AO23 M12:N23" name="SandProfile1"/>
  </protectedRanges>
  <mergeCells count="779">
    <mergeCell ref="K2:N2"/>
    <mergeCell ref="Y10:Z10"/>
    <mergeCell ref="S10:T10"/>
    <mergeCell ref="AG10:AH10"/>
    <mergeCell ref="Y20:Z20"/>
    <mergeCell ref="Y21:Z21"/>
    <mergeCell ref="Y22:Z22"/>
    <mergeCell ref="B9:H9"/>
    <mergeCell ref="P9:V9"/>
    <mergeCell ref="AD9:AI9"/>
    <mergeCell ref="K10:L10"/>
    <mergeCell ref="T7:W7"/>
    <mergeCell ref="E10:F10"/>
    <mergeCell ref="AD10:AE10"/>
    <mergeCell ref="Y23:Z23"/>
    <mergeCell ref="K23:L23"/>
    <mergeCell ref="Y11:Z11"/>
    <mergeCell ref="Y12:Z12"/>
    <mergeCell ref="Y13:Z13"/>
    <mergeCell ref="Y14:Z14"/>
    <mergeCell ref="Y15:Z15"/>
    <mergeCell ref="Y16:Z16"/>
    <mergeCell ref="Y17:Z17"/>
    <mergeCell ref="Y18:Z18"/>
    <mergeCell ref="Y19:Z19"/>
    <mergeCell ref="K17:L17"/>
    <mergeCell ref="K18:L18"/>
    <mergeCell ref="K19:L19"/>
    <mergeCell ref="K20:L20"/>
    <mergeCell ref="K21:L21"/>
    <mergeCell ref="K22:L22"/>
    <mergeCell ref="K11:L11"/>
    <mergeCell ref="K12:L12"/>
    <mergeCell ref="K13:L13"/>
    <mergeCell ref="K14:L14"/>
    <mergeCell ref="K15:L15"/>
    <mergeCell ref="K16:L16"/>
    <mergeCell ref="C38:D38"/>
    <mergeCell ref="C39:D39"/>
    <mergeCell ref="C40:D40"/>
    <mergeCell ref="C41:D41"/>
    <mergeCell ref="C42:D42"/>
    <mergeCell ref="E39:F39"/>
    <mergeCell ref="E38:F38"/>
    <mergeCell ref="O39:P39"/>
    <mergeCell ref="O40:P40"/>
    <mergeCell ref="G41:H41"/>
    <mergeCell ref="I39:J39"/>
    <mergeCell ref="K39:L39"/>
    <mergeCell ref="G40:H40"/>
    <mergeCell ref="I40:J40"/>
    <mergeCell ref="K40:L40"/>
    <mergeCell ref="O38:P38"/>
    <mergeCell ref="E40:F40"/>
    <mergeCell ref="O41:P41"/>
    <mergeCell ref="O42:P42"/>
    <mergeCell ref="I41:J41"/>
    <mergeCell ref="K41:L41"/>
    <mergeCell ref="G42:H42"/>
    <mergeCell ref="E41:F41"/>
    <mergeCell ref="K38:L38"/>
    <mergeCell ref="AC40:AD40"/>
    <mergeCell ref="AC41:AD41"/>
    <mergeCell ref="AA42:AB42"/>
    <mergeCell ref="AA43:AB43"/>
    <mergeCell ref="S41:T41"/>
    <mergeCell ref="S42:T42"/>
    <mergeCell ref="S43:T43"/>
    <mergeCell ref="Q40:R40"/>
    <mergeCell ref="Q41:R41"/>
    <mergeCell ref="Y40:Z40"/>
    <mergeCell ref="Y41:Z41"/>
    <mergeCell ref="AA40:AB40"/>
    <mergeCell ref="AA41:AB41"/>
    <mergeCell ref="U42:V42"/>
    <mergeCell ref="U43:V43"/>
    <mergeCell ref="Q42:R42"/>
    <mergeCell ref="AA39:AB39"/>
    <mergeCell ref="W39:X39"/>
    <mergeCell ref="AC39:AD39"/>
    <mergeCell ref="AC37:AD37"/>
    <mergeCell ref="AC38:AD38"/>
    <mergeCell ref="AA37:AB37"/>
    <mergeCell ref="AA38:AB38"/>
    <mergeCell ref="Y39:Z39"/>
    <mergeCell ref="AE33:AF33"/>
    <mergeCell ref="AE34:AF34"/>
    <mergeCell ref="AE35:AF35"/>
    <mergeCell ref="AE36:AF36"/>
    <mergeCell ref="AE37:AF37"/>
    <mergeCell ref="AE38:AF38"/>
    <mergeCell ref="AA33:AB33"/>
    <mergeCell ref="AA34:AB34"/>
    <mergeCell ref="AA35:AB35"/>
    <mergeCell ref="AA36:AB36"/>
    <mergeCell ref="Y37:Z37"/>
    <mergeCell ref="Y38:Z38"/>
    <mergeCell ref="C32:D32"/>
    <mergeCell ref="C33:D33"/>
    <mergeCell ref="C34:D34"/>
    <mergeCell ref="C35:D35"/>
    <mergeCell ref="C36:D36"/>
    <mergeCell ref="C37:D37"/>
    <mergeCell ref="AC32:AD32"/>
    <mergeCell ref="O35:P35"/>
    <mergeCell ref="O36:P36"/>
    <mergeCell ref="O37:P37"/>
    <mergeCell ref="G33:H33"/>
    <mergeCell ref="I33:J33"/>
    <mergeCell ref="K37:L37"/>
    <mergeCell ref="E33:F33"/>
    <mergeCell ref="E37:F37"/>
    <mergeCell ref="E36:F36"/>
    <mergeCell ref="E35:F35"/>
    <mergeCell ref="E34:F34"/>
    <mergeCell ref="AC33:AD33"/>
    <mergeCell ref="AC34:AD34"/>
    <mergeCell ref="AC35:AD35"/>
    <mergeCell ref="AC36:AD36"/>
    <mergeCell ref="W33:X33"/>
    <mergeCell ref="W34:X34"/>
    <mergeCell ref="AG37:AH37"/>
    <mergeCell ref="AG38:AH38"/>
    <mergeCell ref="AG32:AH32"/>
    <mergeCell ref="E31:L31"/>
    <mergeCell ref="O31:R31"/>
    <mergeCell ref="S31:AB31"/>
    <mergeCell ref="AE31:AF31"/>
    <mergeCell ref="AC31:AD31"/>
    <mergeCell ref="AG31:AH31"/>
    <mergeCell ref="M31:N31"/>
    <mergeCell ref="Q32:R32"/>
    <mergeCell ref="S32:T32"/>
    <mergeCell ref="U32:V32"/>
    <mergeCell ref="W32:X32"/>
    <mergeCell ref="Y32:Z32"/>
    <mergeCell ref="AA32:AB32"/>
    <mergeCell ref="E32:F32"/>
    <mergeCell ref="M32:N32"/>
    <mergeCell ref="O32:P32"/>
    <mergeCell ref="G32:H32"/>
    <mergeCell ref="I32:J32"/>
    <mergeCell ref="K32:L32"/>
    <mergeCell ref="AE32:AF32"/>
    <mergeCell ref="W35:X35"/>
    <mergeCell ref="AE40:AF40"/>
    <mergeCell ref="AE41:AF41"/>
    <mergeCell ref="AE44:AF44"/>
    <mergeCell ref="AG39:AH39"/>
    <mergeCell ref="AG40:AH40"/>
    <mergeCell ref="AG41:AH41"/>
    <mergeCell ref="AG42:AH42"/>
    <mergeCell ref="AG43:AH43"/>
    <mergeCell ref="AG44:AH44"/>
    <mergeCell ref="AE42:AF42"/>
    <mergeCell ref="AE43:AF43"/>
    <mergeCell ref="AE39:AF39"/>
    <mergeCell ref="S39:T39"/>
    <mergeCell ref="S40:T40"/>
    <mergeCell ref="W40:X40"/>
    <mergeCell ref="W41:X41"/>
    <mergeCell ref="U40:V40"/>
    <mergeCell ref="U41:V41"/>
    <mergeCell ref="Q37:R37"/>
    <mergeCell ref="S33:T33"/>
    <mergeCell ref="S34:T34"/>
    <mergeCell ref="S35:T35"/>
    <mergeCell ref="S36:T36"/>
    <mergeCell ref="S37:T37"/>
    <mergeCell ref="S38:T38"/>
    <mergeCell ref="W36:X36"/>
    <mergeCell ref="W37:X37"/>
    <mergeCell ref="W38:X38"/>
    <mergeCell ref="U39:V39"/>
    <mergeCell ref="Q38:R38"/>
    <mergeCell ref="Q39:R39"/>
    <mergeCell ref="U33:V33"/>
    <mergeCell ref="U34:V34"/>
    <mergeCell ref="U35:V35"/>
    <mergeCell ref="U36:V36"/>
    <mergeCell ref="U37:V37"/>
    <mergeCell ref="U38:V38"/>
    <mergeCell ref="W42:X42"/>
    <mergeCell ref="C53:D53"/>
    <mergeCell ref="E53:F53"/>
    <mergeCell ref="M35:N35"/>
    <mergeCell ref="M36:N36"/>
    <mergeCell ref="M37:N37"/>
    <mergeCell ref="M38:N38"/>
    <mergeCell ref="M39:N39"/>
    <mergeCell ref="M40:N40"/>
    <mergeCell ref="M41:N41"/>
    <mergeCell ref="M42:N42"/>
    <mergeCell ref="M43:N43"/>
    <mergeCell ref="M44:N44"/>
    <mergeCell ref="C43:D43"/>
    <mergeCell ref="C44:D44"/>
    <mergeCell ref="C51:D51"/>
    <mergeCell ref="E51:F51"/>
    <mergeCell ref="E49:L49"/>
    <mergeCell ref="M49:N49"/>
    <mergeCell ref="G37:H37"/>
    <mergeCell ref="I37:J37"/>
    <mergeCell ref="G38:H38"/>
    <mergeCell ref="I38:J38"/>
    <mergeCell ref="G39:H39"/>
    <mergeCell ref="AM49:AP49"/>
    <mergeCell ref="C52:D52"/>
    <mergeCell ref="E52:F52"/>
    <mergeCell ref="CH52:CI52"/>
    <mergeCell ref="CJ52:CK52"/>
    <mergeCell ref="CL52:CM52"/>
    <mergeCell ref="M52:N52"/>
    <mergeCell ref="Y52:Z52"/>
    <mergeCell ref="AA52:AB52"/>
    <mergeCell ref="AC52:AD52"/>
    <mergeCell ref="AE52:AF52"/>
    <mergeCell ref="AG52:AH52"/>
    <mergeCell ref="CH51:CI51"/>
    <mergeCell ref="CJ51:CK51"/>
    <mergeCell ref="CL51:CM51"/>
    <mergeCell ref="M51:N51"/>
    <mergeCell ref="O51:P51"/>
    <mergeCell ref="Q51:R51"/>
    <mergeCell ref="S51:T51"/>
    <mergeCell ref="U51:V51"/>
    <mergeCell ref="W51:X51"/>
    <mergeCell ref="Y51:Z51"/>
    <mergeCell ref="AA51:AB51"/>
    <mergeCell ref="AC51:AD51"/>
    <mergeCell ref="AE51:AF51"/>
    <mergeCell ref="AG51:AH51"/>
    <mergeCell ref="I42:J42"/>
    <mergeCell ref="K42:L42"/>
    <mergeCell ref="G43:H43"/>
    <mergeCell ref="I43:J43"/>
    <mergeCell ref="K43:L43"/>
    <mergeCell ref="E43:F43"/>
    <mergeCell ref="E42:F42"/>
    <mergeCell ref="E44:F44"/>
    <mergeCell ref="G44:H44"/>
    <mergeCell ref="AC42:AD42"/>
    <mergeCell ref="Y42:Z42"/>
    <mergeCell ref="I51:J51"/>
    <mergeCell ref="K51:L51"/>
    <mergeCell ref="Y43:Z43"/>
    <mergeCell ref="W43:X43"/>
    <mergeCell ref="U44:V44"/>
    <mergeCell ref="Y44:Z44"/>
    <mergeCell ref="AI49:AL49"/>
    <mergeCell ref="I44:J44"/>
    <mergeCell ref="K44:L44"/>
    <mergeCell ref="Q43:R43"/>
    <mergeCell ref="O43:P43"/>
    <mergeCell ref="Q44:R44"/>
    <mergeCell ref="O44:P44"/>
    <mergeCell ref="W44:X44"/>
    <mergeCell ref="AA44:AB44"/>
    <mergeCell ref="S44:T44"/>
    <mergeCell ref="AC44:AD44"/>
    <mergeCell ref="AC43:AD43"/>
    <mergeCell ref="AE49:AF49"/>
    <mergeCell ref="AG49:AH49"/>
    <mergeCell ref="O49:R49"/>
    <mergeCell ref="S49:AB49"/>
    <mergeCell ref="AC49:AD49"/>
    <mergeCell ref="C50:D50"/>
    <mergeCell ref="E50:F50"/>
    <mergeCell ref="CH50:CI50"/>
    <mergeCell ref="CJ50:CK50"/>
    <mergeCell ref="CL50:CM50"/>
    <mergeCell ref="M50:N50"/>
    <mergeCell ref="O50:P50"/>
    <mergeCell ref="Q50:R50"/>
    <mergeCell ref="S50:T50"/>
    <mergeCell ref="U50:V50"/>
    <mergeCell ref="W50:X50"/>
    <mergeCell ref="Y50:Z50"/>
    <mergeCell ref="AA50:AB50"/>
    <mergeCell ref="AC50:AD50"/>
    <mergeCell ref="AE50:AF50"/>
    <mergeCell ref="AG50:AH50"/>
    <mergeCell ref="K50:L50"/>
    <mergeCell ref="CH53:CI53"/>
    <mergeCell ref="CJ53:CK53"/>
    <mergeCell ref="CL53:CM53"/>
    <mergeCell ref="M53:N53"/>
    <mergeCell ref="O53:P53"/>
    <mergeCell ref="Q53:R53"/>
    <mergeCell ref="S53:T53"/>
    <mergeCell ref="U53:V53"/>
    <mergeCell ref="W53:X53"/>
    <mergeCell ref="C54:D54"/>
    <mergeCell ref="E54:F54"/>
    <mergeCell ref="CH54:CI54"/>
    <mergeCell ref="CJ54:CK54"/>
    <mergeCell ref="CL54:CM54"/>
    <mergeCell ref="M54:N54"/>
    <mergeCell ref="O54:P54"/>
    <mergeCell ref="Q54:R54"/>
    <mergeCell ref="S54:T54"/>
    <mergeCell ref="U54:V54"/>
    <mergeCell ref="W54:X54"/>
    <mergeCell ref="Y54:Z54"/>
    <mergeCell ref="AA54:AB54"/>
    <mergeCell ref="AC54:AD54"/>
    <mergeCell ref="AE54:AF54"/>
    <mergeCell ref="C55:D55"/>
    <mergeCell ref="E55:F55"/>
    <mergeCell ref="CH55:CI55"/>
    <mergeCell ref="CJ55:CK55"/>
    <mergeCell ref="CL55:CM55"/>
    <mergeCell ref="M55:N55"/>
    <mergeCell ref="O55:P55"/>
    <mergeCell ref="Q55:R55"/>
    <mergeCell ref="S55:T55"/>
    <mergeCell ref="G55:H55"/>
    <mergeCell ref="I55:J55"/>
    <mergeCell ref="K55:L55"/>
    <mergeCell ref="C56:D56"/>
    <mergeCell ref="E56:F56"/>
    <mergeCell ref="CH56:CI56"/>
    <mergeCell ref="CJ56:CK56"/>
    <mergeCell ref="CL56:CM56"/>
    <mergeCell ref="M56:N56"/>
    <mergeCell ref="O56:P56"/>
    <mergeCell ref="Q56:R56"/>
    <mergeCell ref="S56:T56"/>
    <mergeCell ref="U56:V56"/>
    <mergeCell ref="W56:X56"/>
    <mergeCell ref="Y56:Z56"/>
    <mergeCell ref="AA56:AB56"/>
    <mergeCell ref="AC56:AD56"/>
    <mergeCell ref="AE56:AF56"/>
    <mergeCell ref="K56:L56"/>
    <mergeCell ref="I56:J56"/>
    <mergeCell ref="G56:H56"/>
    <mergeCell ref="CJ57:CK57"/>
    <mergeCell ref="CL57:CM57"/>
    <mergeCell ref="M57:N57"/>
    <mergeCell ref="O57:P57"/>
    <mergeCell ref="Q57:R57"/>
    <mergeCell ref="S57:T57"/>
    <mergeCell ref="U55:V55"/>
    <mergeCell ref="W55:X55"/>
    <mergeCell ref="Y55:Z55"/>
    <mergeCell ref="AA55:AB55"/>
    <mergeCell ref="AC55:AD55"/>
    <mergeCell ref="AE55:AF55"/>
    <mergeCell ref="U57:V57"/>
    <mergeCell ref="W57:X57"/>
    <mergeCell ref="Y57:Z57"/>
    <mergeCell ref="AA57:AB57"/>
    <mergeCell ref="AC57:AD57"/>
    <mergeCell ref="AE57:AF57"/>
    <mergeCell ref="CJ58:CK58"/>
    <mergeCell ref="CL58:CM58"/>
    <mergeCell ref="M58:N58"/>
    <mergeCell ref="O58:P58"/>
    <mergeCell ref="Q58:R58"/>
    <mergeCell ref="S58:T58"/>
    <mergeCell ref="U58:V58"/>
    <mergeCell ref="W58:X58"/>
    <mergeCell ref="Y58:Z58"/>
    <mergeCell ref="AA58:AB58"/>
    <mergeCell ref="AC58:AD58"/>
    <mergeCell ref="AE58:AF58"/>
    <mergeCell ref="C58:D58"/>
    <mergeCell ref="E58:F58"/>
    <mergeCell ref="CH58:CI58"/>
    <mergeCell ref="G57:H57"/>
    <mergeCell ref="I57:J57"/>
    <mergeCell ref="K57:L57"/>
    <mergeCell ref="C57:D57"/>
    <mergeCell ref="E57:F57"/>
    <mergeCell ref="CH57:CI57"/>
    <mergeCell ref="AG57:AH57"/>
    <mergeCell ref="AG58:AH58"/>
    <mergeCell ref="C59:D59"/>
    <mergeCell ref="E59:F59"/>
    <mergeCell ref="CH59:CI59"/>
    <mergeCell ref="CJ59:CK59"/>
    <mergeCell ref="CL59:CM59"/>
    <mergeCell ref="M59:N59"/>
    <mergeCell ref="O59:P59"/>
    <mergeCell ref="Q59:R59"/>
    <mergeCell ref="S59:T59"/>
    <mergeCell ref="C60:D60"/>
    <mergeCell ref="E60:F60"/>
    <mergeCell ref="CH60:CI60"/>
    <mergeCell ref="CJ60:CK60"/>
    <mergeCell ref="CL60:CM60"/>
    <mergeCell ref="M60:N60"/>
    <mergeCell ref="O60:P60"/>
    <mergeCell ref="Q60:R60"/>
    <mergeCell ref="S60:T60"/>
    <mergeCell ref="U60:V60"/>
    <mergeCell ref="W60:X60"/>
    <mergeCell ref="Y60:Z60"/>
    <mergeCell ref="AA60:AB60"/>
    <mergeCell ref="AC60:AD60"/>
    <mergeCell ref="AE60:AF60"/>
    <mergeCell ref="CJ61:CK61"/>
    <mergeCell ref="CL61:CM61"/>
    <mergeCell ref="M61:N61"/>
    <mergeCell ref="O61:P61"/>
    <mergeCell ref="Q61:R61"/>
    <mergeCell ref="S61:T61"/>
    <mergeCell ref="U59:V59"/>
    <mergeCell ref="W59:X59"/>
    <mergeCell ref="Y59:Z59"/>
    <mergeCell ref="AA59:AB59"/>
    <mergeCell ref="AC59:AD59"/>
    <mergeCell ref="AE59:AF59"/>
    <mergeCell ref="U61:V61"/>
    <mergeCell ref="W61:X61"/>
    <mergeCell ref="Y61:Z61"/>
    <mergeCell ref="AA61:AB61"/>
    <mergeCell ref="AC61:AD61"/>
    <mergeCell ref="AE61:AF61"/>
    <mergeCell ref="AG59:AH59"/>
    <mergeCell ref="AG60:AH60"/>
    <mergeCell ref="CJ62:CK62"/>
    <mergeCell ref="CL62:CM62"/>
    <mergeCell ref="M62:N62"/>
    <mergeCell ref="O62:P62"/>
    <mergeCell ref="Q62:R62"/>
    <mergeCell ref="S62:T62"/>
    <mergeCell ref="U62:V62"/>
    <mergeCell ref="W62:X62"/>
    <mergeCell ref="Y62:Z62"/>
    <mergeCell ref="AA62:AB62"/>
    <mergeCell ref="AC62:AD62"/>
    <mergeCell ref="AE62:AF62"/>
    <mergeCell ref="C62:D62"/>
    <mergeCell ref="E62:F62"/>
    <mergeCell ref="CH62:CI62"/>
    <mergeCell ref="G61:H61"/>
    <mergeCell ref="I61:J61"/>
    <mergeCell ref="K61:L61"/>
    <mergeCell ref="C61:D61"/>
    <mergeCell ref="E61:F61"/>
    <mergeCell ref="CH61:CI61"/>
    <mergeCell ref="AG61:AH61"/>
    <mergeCell ref="AG62:AH62"/>
    <mergeCell ref="G62:H62"/>
    <mergeCell ref="I62:J62"/>
    <mergeCell ref="K62:L62"/>
    <mergeCell ref="AR61:AS64"/>
    <mergeCell ref="CJ68:CK68"/>
    <mergeCell ref="CL68:CM68"/>
    <mergeCell ref="M68:N68"/>
    <mergeCell ref="O68:P68"/>
    <mergeCell ref="Q68:R68"/>
    <mergeCell ref="S68:T68"/>
    <mergeCell ref="U68:V68"/>
    <mergeCell ref="W68:X68"/>
    <mergeCell ref="Y68:Z68"/>
    <mergeCell ref="AA68:AB68"/>
    <mergeCell ref="AC68:AD68"/>
    <mergeCell ref="AE68:AF68"/>
    <mergeCell ref="AG68:AH68"/>
    <mergeCell ref="M67:N67"/>
    <mergeCell ref="O67:R67"/>
    <mergeCell ref="S67:AB67"/>
    <mergeCell ref="AC67:AD67"/>
    <mergeCell ref="AE67:AF67"/>
    <mergeCell ref="AG67:AH67"/>
    <mergeCell ref="C68:D68"/>
    <mergeCell ref="E68:F68"/>
    <mergeCell ref="CH68:CI68"/>
    <mergeCell ref="BQ67:BT67"/>
    <mergeCell ref="E67:L67"/>
    <mergeCell ref="I68:J68"/>
    <mergeCell ref="K68:L68"/>
    <mergeCell ref="BU67:BX67"/>
    <mergeCell ref="AI67:AL67"/>
    <mergeCell ref="AM67:AP67"/>
    <mergeCell ref="G68:H68"/>
    <mergeCell ref="C69:D69"/>
    <mergeCell ref="E69:F69"/>
    <mergeCell ref="CH69:CI69"/>
    <mergeCell ref="CJ69:CK69"/>
    <mergeCell ref="CL69:CM69"/>
    <mergeCell ref="M69:N69"/>
    <mergeCell ref="O69:P69"/>
    <mergeCell ref="Q69:R69"/>
    <mergeCell ref="S69:T69"/>
    <mergeCell ref="G69:H69"/>
    <mergeCell ref="I69:J69"/>
    <mergeCell ref="K69:L69"/>
    <mergeCell ref="C70:D70"/>
    <mergeCell ref="E70:F70"/>
    <mergeCell ref="CH70:CI70"/>
    <mergeCell ref="CJ70:CK70"/>
    <mergeCell ref="CL70:CM70"/>
    <mergeCell ref="M70:N70"/>
    <mergeCell ref="O70:P70"/>
    <mergeCell ref="Q70:R70"/>
    <mergeCell ref="S70:T70"/>
    <mergeCell ref="U70:V70"/>
    <mergeCell ref="W70:X70"/>
    <mergeCell ref="Y70:Z70"/>
    <mergeCell ref="AA70:AB70"/>
    <mergeCell ref="AC70:AD70"/>
    <mergeCell ref="AE70:AF70"/>
    <mergeCell ref="AG70:AH70"/>
    <mergeCell ref="G70:H70"/>
    <mergeCell ref="I70:J70"/>
    <mergeCell ref="K70:L70"/>
    <mergeCell ref="CL71:CM71"/>
    <mergeCell ref="M71:N71"/>
    <mergeCell ref="O71:P71"/>
    <mergeCell ref="Q71:R71"/>
    <mergeCell ref="S71:T71"/>
    <mergeCell ref="U69:V69"/>
    <mergeCell ref="W69:X69"/>
    <mergeCell ref="Y69:Z69"/>
    <mergeCell ref="AA69:AB69"/>
    <mergeCell ref="AC69:AD69"/>
    <mergeCell ref="AE69:AF69"/>
    <mergeCell ref="AG69:AH69"/>
    <mergeCell ref="U71:V71"/>
    <mergeCell ref="W71:X71"/>
    <mergeCell ref="Y71:Z71"/>
    <mergeCell ref="AA71:AB71"/>
    <mergeCell ref="AC71:AD71"/>
    <mergeCell ref="AE71:AF71"/>
    <mergeCell ref="AG71:AH71"/>
    <mergeCell ref="CL72:CM72"/>
    <mergeCell ref="M72:N72"/>
    <mergeCell ref="O72:P72"/>
    <mergeCell ref="Q72:R72"/>
    <mergeCell ref="S72:T72"/>
    <mergeCell ref="U72:V72"/>
    <mergeCell ref="W72:X72"/>
    <mergeCell ref="Y72:Z72"/>
    <mergeCell ref="AA72:AB72"/>
    <mergeCell ref="AC72:AD72"/>
    <mergeCell ref="AE72:AF72"/>
    <mergeCell ref="AG72:AH72"/>
    <mergeCell ref="C72:D72"/>
    <mergeCell ref="E72:F72"/>
    <mergeCell ref="G72:H72"/>
    <mergeCell ref="C71:D71"/>
    <mergeCell ref="E71:F71"/>
    <mergeCell ref="C73:D73"/>
    <mergeCell ref="E73:F73"/>
    <mergeCell ref="CH73:CI73"/>
    <mergeCell ref="CJ73:CK73"/>
    <mergeCell ref="G71:H71"/>
    <mergeCell ref="I71:J71"/>
    <mergeCell ref="K71:L71"/>
    <mergeCell ref="CH72:CI72"/>
    <mergeCell ref="CJ72:CK72"/>
    <mergeCell ref="CH71:CI71"/>
    <mergeCell ref="CJ71:CK71"/>
    <mergeCell ref="W73:X73"/>
    <mergeCell ref="Y73:Z73"/>
    <mergeCell ref="AA73:AB73"/>
    <mergeCell ref="AC73:AD73"/>
    <mergeCell ref="AE73:AF73"/>
    <mergeCell ref="AG73:AH73"/>
    <mergeCell ref="M73:N73"/>
    <mergeCell ref="O73:P73"/>
    <mergeCell ref="CL73:CM73"/>
    <mergeCell ref="Q73:R73"/>
    <mergeCell ref="S73:T73"/>
    <mergeCell ref="C74:D74"/>
    <mergeCell ref="E74:F74"/>
    <mergeCell ref="CH74:CI74"/>
    <mergeCell ref="CJ74:CK74"/>
    <mergeCell ref="CL74:CM74"/>
    <mergeCell ref="M74:N74"/>
    <mergeCell ref="O74:P74"/>
    <mergeCell ref="Q74:R74"/>
    <mergeCell ref="S74:T74"/>
    <mergeCell ref="U74:V74"/>
    <mergeCell ref="W74:X74"/>
    <mergeCell ref="Y74:Z74"/>
    <mergeCell ref="AA74:AB74"/>
    <mergeCell ref="AC74:AD74"/>
    <mergeCell ref="AE74:AF74"/>
    <mergeCell ref="AG74:AH74"/>
    <mergeCell ref="I74:J74"/>
    <mergeCell ref="K74:L74"/>
    <mergeCell ref="U73:V73"/>
    <mergeCell ref="G74:H74"/>
    <mergeCell ref="C76:D76"/>
    <mergeCell ref="E76:F76"/>
    <mergeCell ref="CH76:CI76"/>
    <mergeCell ref="CJ76:CK76"/>
    <mergeCell ref="CL76:CM76"/>
    <mergeCell ref="M76:N76"/>
    <mergeCell ref="O76:P76"/>
    <mergeCell ref="Q76:R76"/>
    <mergeCell ref="S76:T76"/>
    <mergeCell ref="W76:X76"/>
    <mergeCell ref="Y76:Z76"/>
    <mergeCell ref="AA76:AB76"/>
    <mergeCell ref="AC76:AD76"/>
    <mergeCell ref="AE76:AF76"/>
    <mergeCell ref="AG76:AH76"/>
    <mergeCell ref="U76:V76"/>
    <mergeCell ref="G76:H76"/>
    <mergeCell ref="CJ75:CK75"/>
    <mergeCell ref="CL75:CM75"/>
    <mergeCell ref="M75:N75"/>
    <mergeCell ref="O75:P75"/>
    <mergeCell ref="Q75:R75"/>
    <mergeCell ref="S75:T75"/>
    <mergeCell ref="C75:D75"/>
    <mergeCell ref="E75:F75"/>
    <mergeCell ref="CH75:CI75"/>
    <mergeCell ref="G75:H75"/>
    <mergeCell ref="I75:J75"/>
    <mergeCell ref="K75:L75"/>
    <mergeCell ref="AA75:AB75"/>
    <mergeCell ref="AC75:AD75"/>
    <mergeCell ref="AE75:AF75"/>
    <mergeCell ref="AG75:AH75"/>
    <mergeCell ref="U75:V75"/>
    <mergeCell ref="W75:X75"/>
    <mergeCell ref="Y75:Z75"/>
    <mergeCell ref="G78:H78"/>
    <mergeCell ref="I78:J78"/>
    <mergeCell ref="K78:L78"/>
    <mergeCell ref="C77:D77"/>
    <mergeCell ref="E77:F77"/>
    <mergeCell ref="CH77:CI77"/>
    <mergeCell ref="CJ77:CK77"/>
    <mergeCell ref="CL77:CM77"/>
    <mergeCell ref="M77:N77"/>
    <mergeCell ref="O77:P77"/>
    <mergeCell ref="Q77:R77"/>
    <mergeCell ref="S77:T77"/>
    <mergeCell ref="U77:V77"/>
    <mergeCell ref="W77:X77"/>
    <mergeCell ref="Y77:Z77"/>
    <mergeCell ref="AA77:AB77"/>
    <mergeCell ref="AC77:AD77"/>
    <mergeCell ref="AE77:AF77"/>
    <mergeCell ref="AG77:AH77"/>
    <mergeCell ref="CJ78:CK78"/>
    <mergeCell ref="CL78:CM78"/>
    <mergeCell ref="M78:N78"/>
    <mergeCell ref="O78:P78"/>
    <mergeCell ref="Q78:R78"/>
    <mergeCell ref="S78:T78"/>
    <mergeCell ref="U78:V78"/>
    <mergeCell ref="W78:X78"/>
    <mergeCell ref="Y78:Z78"/>
    <mergeCell ref="AA78:AB78"/>
    <mergeCell ref="AC78:AD78"/>
    <mergeCell ref="AE78:AF78"/>
    <mergeCell ref="AG78:AH78"/>
    <mergeCell ref="CJ80:CK80"/>
    <mergeCell ref="CJ79:CK79"/>
    <mergeCell ref="CL79:CM79"/>
    <mergeCell ref="M79:N79"/>
    <mergeCell ref="O79:P79"/>
    <mergeCell ref="Q79:R79"/>
    <mergeCell ref="S79:T79"/>
    <mergeCell ref="U79:V79"/>
    <mergeCell ref="W79:X79"/>
    <mergeCell ref="Y79:Z79"/>
    <mergeCell ref="CL80:CM80"/>
    <mergeCell ref="M80:N80"/>
    <mergeCell ref="O80:P80"/>
    <mergeCell ref="Q80:R80"/>
    <mergeCell ref="S80:T80"/>
    <mergeCell ref="U80:V80"/>
    <mergeCell ref="W80:X80"/>
    <mergeCell ref="Y80:Z80"/>
    <mergeCell ref="AA80:AB80"/>
    <mergeCell ref="AC80:AD80"/>
    <mergeCell ref="AE80:AF80"/>
    <mergeCell ref="AG80:AH80"/>
    <mergeCell ref="C80:D80"/>
    <mergeCell ref="E80:F80"/>
    <mergeCell ref="CH80:CI80"/>
    <mergeCell ref="G80:H80"/>
    <mergeCell ref="I80:J80"/>
    <mergeCell ref="K80:L80"/>
    <mergeCell ref="C79:D79"/>
    <mergeCell ref="E79:F79"/>
    <mergeCell ref="G79:H79"/>
    <mergeCell ref="I79:J79"/>
    <mergeCell ref="K79:L79"/>
    <mergeCell ref="AA79:AB79"/>
    <mergeCell ref="AC79:AD79"/>
    <mergeCell ref="AE79:AF79"/>
    <mergeCell ref="AG79:AH79"/>
    <mergeCell ref="CH79:CI79"/>
    <mergeCell ref="AR79:AS82"/>
    <mergeCell ref="C78:D78"/>
    <mergeCell ref="E78:F78"/>
    <mergeCell ref="CH78:CI78"/>
    <mergeCell ref="AG53:AH53"/>
    <mergeCell ref="AG54:AH54"/>
    <mergeCell ref="AG55:AH55"/>
    <mergeCell ref="AG56:AH56"/>
    <mergeCell ref="Y53:Z53"/>
    <mergeCell ref="AA53:AB53"/>
    <mergeCell ref="AC53:AD53"/>
    <mergeCell ref="AE53:AF53"/>
    <mergeCell ref="G54:H54"/>
    <mergeCell ref="I54:J54"/>
    <mergeCell ref="K54:L54"/>
    <mergeCell ref="I76:J76"/>
    <mergeCell ref="K76:L76"/>
    <mergeCell ref="G77:H77"/>
    <mergeCell ref="I77:J77"/>
    <mergeCell ref="K77:L77"/>
    <mergeCell ref="I72:J72"/>
    <mergeCell ref="K72:L72"/>
    <mergeCell ref="G73:H73"/>
    <mergeCell ref="I73:J73"/>
    <mergeCell ref="K73:L73"/>
    <mergeCell ref="O52:P52"/>
    <mergeCell ref="Q52:R52"/>
    <mergeCell ref="S52:T52"/>
    <mergeCell ref="U52:V52"/>
    <mergeCell ref="W52:X52"/>
    <mergeCell ref="I52:J52"/>
    <mergeCell ref="K52:L52"/>
    <mergeCell ref="G53:H53"/>
    <mergeCell ref="I53:J53"/>
    <mergeCell ref="K53:L53"/>
    <mergeCell ref="G52:H52"/>
    <mergeCell ref="M33:N33"/>
    <mergeCell ref="M34:N34"/>
    <mergeCell ref="O33:P33"/>
    <mergeCell ref="O34:P34"/>
    <mergeCell ref="Q33:R33"/>
    <mergeCell ref="Q34:R34"/>
    <mergeCell ref="Q35:R35"/>
    <mergeCell ref="Q36:R36"/>
    <mergeCell ref="AG33:AH33"/>
    <mergeCell ref="AG34:AH34"/>
    <mergeCell ref="AG35:AH35"/>
    <mergeCell ref="AG36:AH36"/>
    <mergeCell ref="Y33:Z33"/>
    <mergeCell ref="Y34:Z34"/>
    <mergeCell ref="Y35:Z35"/>
    <mergeCell ref="Y36:Z36"/>
    <mergeCell ref="K35:L35"/>
    <mergeCell ref="G36:H36"/>
    <mergeCell ref="I36:J36"/>
    <mergeCell ref="K36:L36"/>
    <mergeCell ref="K33:L33"/>
    <mergeCell ref="G34:H34"/>
    <mergeCell ref="I34:J34"/>
    <mergeCell ref="K34:L34"/>
    <mergeCell ref="G35:H35"/>
    <mergeCell ref="AR43:AS46"/>
    <mergeCell ref="B26:AO26"/>
    <mergeCell ref="C1:D1"/>
    <mergeCell ref="E1:F1"/>
    <mergeCell ref="AM31:AP31"/>
    <mergeCell ref="AR49:AT49"/>
    <mergeCell ref="AR67:AT67"/>
    <mergeCell ref="AR31:AT31"/>
    <mergeCell ref="G58:H58"/>
    <mergeCell ref="I58:J58"/>
    <mergeCell ref="K58:L58"/>
    <mergeCell ref="G59:H59"/>
    <mergeCell ref="I59:J59"/>
    <mergeCell ref="K59:L59"/>
    <mergeCell ref="G60:H60"/>
    <mergeCell ref="I60:J60"/>
    <mergeCell ref="K60:L60"/>
    <mergeCell ref="G51:H51"/>
    <mergeCell ref="G50:H50"/>
    <mergeCell ref="I50:J50"/>
    <mergeCell ref="B10:C10"/>
    <mergeCell ref="P10:Q10"/>
    <mergeCell ref="AI31:AL31"/>
    <mergeCell ref="I35:J35"/>
  </mergeCells>
  <conditionalFormatting sqref="AR69:AT77 AR51:AT58 AR33:AT40 AR78:AS78 AR59:AS60 AR41:AS42">
    <cfRule type="cellIs" dxfId="10" priority="12" operator="lessThan">
      <formula>0</formula>
    </cfRule>
  </conditionalFormatting>
  <conditionalFormatting sqref="AT60:AT62">
    <cfRule type="cellIs" dxfId="9" priority="2" operator="lessThan">
      <formula>0</formula>
    </cfRule>
  </conditionalFormatting>
  <conditionalFormatting sqref="AT59">
    <cfRule type="cellIs" dxfId="8" priority="4" operator="lessThan">
      <formula>0</formula>
    </cfRule>
  </conditionalFormatting>
  <conditionalFormatting sqref="AT41:AT44">
    <cfRule type="cellIs" dxfId="7" priority="3" operator="lessThan">
      <formula>0</formula>
    </cfRule>
  </conditionalFormatting>
  <conditionalFormatting sqref="AT78:AT80">
    <cfRule type="cellIs" dxfId="6" priority="1" operator="lessThan">
      <formula>0</formula>
    </cfRule>
  </conditionalFormatting>
  <hyperlinks>
    <hyperlink ref="AC3" location="'Front Page'!A1" display="Return to Front Page" xr:uid="{00000000-0004-0000-0400-000000000000}"/>
    <hyperlink ref="AC2" location="'Abbreviations and Glossary'!A64" display="Link to Abbreviations and Glossary" xr:uid="{00000000-0004-0000-0400-000001000000}"/>
  </hyperlinks>
  <pageMargins left="0.23622047244094488" right="0.23622047244094488" top="0.23622047244094488" bottom="0.23622047244094488" header="0.31496062992125984" footer="0.31496062992125984"/>
  <pageSetup paperSize="9" scale="39" orientation="landscape" r:id="rId1"/>
  <ignoredErrors>
    <ignoredError sqref="AL33:AL44 AL51:AL62 AL69:AL80"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'Reference Lists&amp;Tables'!$B$22:$B$23</xm:f>
          </x14:formula1>
          <xm:sqref>X7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1:AJ61"/>
  <sheetViews>
    <sheetView zoomScaleNormal="100" workbookViewId="0">
      <selection activeCell="B4" sqref="B4"/>
    </sheetView>
  </sheetViews>
  <sheetFormatPr defaultRowHeight="14.5"/>
  <cols>
    <col min="1" max="1" width="3.81640625" style="59" customWidth="1"/>
    <col min="2" max="2" width="11.54296875" customWidth="1"/>
    <col min="3" max="3" width="13.81640625" style="11" customWidth="1"/>
    <col min="4" max="4" width="6" customWidth="1"/>
    <col min="5" max="6" width="5" customWidth="1"/>
    <col min="7" max="7" width="7.81640625" customWidth="1"/>
    <col min="8" max="8" width="9.1796875" customWidth="1"/>
    <col min="9" max="9" width="6" customWidth="1"/>
    <col min="10" max="10" width="5" customWidth="1"/>
    <col min="11" max="11" width="6" customWidth="1"/>
    <col min="12" max="12" width="9.1796875" customWidth="1"/>
    <col min="13" max="13" width="8.81640625" customWidth="1"/>
    <col min="14" max="14" width="10.81640625" customWidth="1"/>
    <col min="15" max="15" width="7.81640625" customWidth="1"/>
    <col min="16" max="16" width="10.81640625" customWidth="1"/>
  </cols>
  <sheetData>
    <row r="1" spans="1:36" s="59" customFormat="1"/>
    <row r="2" spans="1:36" s="10" customFormat="1">
      <c r="A2" s="59"/>
      <c r="B2" s="10" t="s">
        <v>518</v>
      </c>
      <c r="C2" s="11"/>
    </row>
    <row r="3" spans="1:36" s="59" customFormat="1"/>
    <row r="4" spans="1:36" s="46" customFormat="1">
      <c r="A4" s="59"/>
    </row>
    <row r="5" spans="1:36" s="46" customFormat="1">
      <c r="A5" s="59"/>
      <c r="B5" s="46" t="s">
        <v>519</v>
      </c>
    </row>
    <row r="6" spans="1:36" s="46" customFormat="1">
      <c r="A6" s="59"/>
      <c r="B6" s="46" t="s">
        <v>478</v>
      </c>
      <c r="C6" s="46" t="s">
        <v>520</v>
      </c>
    </row>
    <row r="7" spans="1:36" s="46" customFormat="1">
      <c r="A7" s="59"/>
      <c r="B7" s="46" t="s">
        <v>479</v>
      </c>
      <c r="C7" s="46" t="s">
        <v>521</v>
      </c>
    </row>
    <row r="8" spans="1:36" s="46" customFormat="1">
      <c r="A8" s="59"/>
      <c r="B8" s="46" t="s">
        <v>480</v>
      </c>
      <c r="C8" s="46" t="s">
        <v>522</v>
      </c>
    </row>
    <row r="9" spans="1:36" s="46" customFormat="1">
      <c r="A9" s="59"/>
      <c r="B9" s="46" t="s">
        <v>481</v>
      </c>
      <c r="C9" s="46" t="s">
        <v>523</v>
      </c>
    </row>
    <row r="10" spans="1:36" s="46" customFormat="1">
      <c r="A10" s="59"/>
      <c r="B10" s="46" t="s">
        <v>482</v>
      </c>
      <c r="C10" s="46" t="s">
        <v>524</v>
      </c>
    </row>
    <row r="11" spans="1:36" s="46" customFormat="1">
      <c r="A11" s="59"/>
      <c r="B11" s="46" t="s">
        <v>525</v>
      </c>
      <c r="C11" s="46" t="s">
        <v>526</v>
      </c>
    </row>
    <row r="12" spans="1:36" s="46" customFormat="1">
      <c r="A12" s="59"/>
      <c r="B12" s="46" t="s">
        <v>527</v>
      </c>
      <c r="C12" s="46" t="s">
        <v>533</v>
      </c>
    </row>
    <row r="13" spans="1:36" s="10" customFormat="1">
      <c r="A13" s="59"/>
      <c r="B13" s="10" t="s">
        <v>528</v>
      </c>
      <c r="C13" s="11" t="s">
        <v>532</v>
      </c>
    </row>
    <row r="14" spans="1:36" s="10" customFormat="1">
      <c r="A14" s="59"/>
      <c r="B14" s="11"/>
      <c r="C14" s="11"/>
      <c r="D14" s="11"/>
      <c r="E14" s="11"/>
      <c r="F14" s="11"/>
      <c r="G14" s="11"/>
      <c r="H14" s="11"/>
      <c r="I14" s="11"/>
      <c r="J14" s="11"/>
      <c r="K14" s="11" t="s">
        <v>82</v>
      </c>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row>
    <row r="15" spans="1:36" s="10" customFormat="1">
      <c r="A15" s="59"/>
      <c r="B15" s="11"/>
      <c r="C15" s="11"/>
      <c r="D15" s="11"/>
      <c r="E15" s="11"/>
      <c r="F15" s="1210" t="s">
        <v>83</v>
      </c>
      <c r="G15" s="1211"/>
      <c r="H15" s="1213"/>
      <c r="I15" s="1210" t="s">
        <v>84</v>
      </c>
      <c r="J15" s="1211"/>
      <c r="K15" s="1211"/>
      <c r="L15" s="1211"/>
      <c r="M15" s="1211"/>
      <c r="N15" s="1211"/>
      <c r="O15" s="13"/>
      <c r="P15" s="13"/>
      <c r="Q15" s="14"/>
      <c r="R15" s="1210" t="s">
        <v>85</v>
      </c>
      <c r="S15" s="1211"/>
      <c r="T15" s="1211"/>
      <c r="U15" s="1213"/>
      <c r="V15" s="1210" t="s">
        <v>86</v>
      </c>
      <c r="W15" s="1211"/>
      <c r="X15" s="1211"/>
      <c r="Y15" s="1211"/>
      <c r="Z15" s="1211"/>
      <c r="AA15" s="1213"/>
      <c r="AB15" s="28" t="s">
        <v>87</v>
      </c>
      <c r="AC15" s="21"/>
      <c r="AD15" s="12" t="s">
        <v>88</v>
      </c>
      <c r="AE15" s="13" t="s">
        <v>89</v>
      </c>
      <c r="AF15" s="14"/>
      <c r="AG15" s="12" t="s">
        <v>90</v>
      </c>
      <c r="AH15" s="13"/>
      <c r="AI15" s="13"/>
      <c r="AJ15" s="14"/>
    </row>
    <row r="16" spans="1:36" s="10" customFormat="1">
      <c r="A16" s="59"/>
      <c r="B16" s="11" t="s">
        <v>115</v>
      </c>
      <c r="C16" s="11" t="s">
        <v>116</v>
      </c>
      <c r="D16" s="964" t="s">
        <v>91</v>
      </c>
      <c r="E16" s="964"/>
      <c r="F16" s="15" t="s">
        <v>92</v>
      </c>
      <c r="G16" s="16" t="s">
        <v>93</v>
      </c>
      <c r="H16" s="17" t="s">
        <v>94</v>
      </c>
      <c r="I16" s="15" t="s">
        <v>95</v>
      </c>
      <c r="J16" s="16" t="s">
        <v>9</v>
      </c>
      <c r="K16" s="16" t="s">
        <v>61</v>
      </c>
      <c r="L16" s="16" t="s">
        <v>62</v>
      </c>
      <c r="M16" s="16" t="s">
        <v>7</v>
      </c>
      <c r="N16" s="16" t="s">
        <v>64</v>
      </c>
      <c r="O16" s="16" t="s">
        <v>65</v>
      </c>
      <c r="P16" s="16" t="s">
        <v>66</v>
      </c>
      <c r="Q16" s="17" t="s">
        <v>59</v>
      </c>
      <c r="R16" s="19" t="s">
        <v>96</v>
      </c>
      <c r="S16" s="18" t="s">
        <v>97</v>
      </c>
      <c r="T16" s="18" t="s">
        <v>98</v>
      </c>
      <c r="U16" s="20" t="s">
        <v>99</v>
      </c>
      <c r="V16" s="19" t="s">
        <v>9</v>
      </c>
      <c r="W16" s="18" t="s">
        <v>61</v>
      </c>
      <c r="X16" s="18" t="s">
        <v>62</v>
      </c>
      <c r="Y16" s="18" t="s">
        <v>63</v>
      </c>
      <c r="Z16" s="20" t="s">
        <v>4</v>
      </c>
      <c r="AA16" s="18" t="s">
        <v>10</v>
      </c>
      <c r="AB16" s="8" t="s">
        <v>100</v>
      </c>
      <c r="AC16" s="22" t="s">
        <v>104</v>
      </c>
      <c r="AD16" s="19" t="s">
        <v>105</v>
      </c>
      <c r="AE16" s="18" t="s">
        <v>106</v>
      </c>
      <c r="AF16" s="20" t="s">
        <v>107</v>
      </c>
      <c r="AG16" s="15"/>
      <c r="AH16" s="16"/>
      <c r="AI16" s="16"/>
      <c r="AJ16" s="17"/>
    </row>
    <row r="17" spans="1:36" s="10" customFormat="1" ht="16.5">
      <c r="A17" s="59"/>
      <c r="B17" s="11"/>
      <c r="C17" s="11"/>
      <c r="D17" s="11" t="s">
        <v>117</v>
      </c>
      <c r="E17" s="11" t="s">
        <v>118</v>
      </c>
      <c r="F17" s="26" t="s">
        <v>119</v>
      </c>
      <c r="G17" s="27" t="s">
        <v>120</v>
      </c>
      <c r="H17" s="17" t="s">
        <v>108</v>
      </c>
      <c r="I17" s="15"/>
      <c r="J17" s="1212" t="s">
        <v>109</v>
      </c>
      <c r="K17" s="1212"/>
      <c r="L17" s="1212"/>
      <c r="M17" s="1212"/>
      <c r="N17" s="1212"/>
      <c r="O17" s="1212"/>
      <c r="P17" s="1212"/>
      <c r="Q17" s="17"/>
      <c r="R17" s="15" t="s">
        <v>110</v>
      </c>
      <c r="S17" s="16"/>
      <c r="T17" s="16"/>
      <c r="U17" s="17"/>
      <c r="V17" s="15"/>
      <c r="W17" s="16" t="s">
        <v>111</v>
      </c>
      <c r="X17" s="16"/>
      <c r="Y17" s="16"/>
      <c r="Z17" s="17"/>
      <c r="AA17" s="11"/>
      <c r="AB17" s="29" t="s">
        <v>110</v>
      </c>
      <c r="AC17" s="23" t="s">
        <v>112</v>
      </c>
      <c r="AD17" s="15" t="s">
        <v>113</v>
      </c>
      <c r="AE17" s="16" t="s">
        <v>114</v>
      </c>
      <c r="AF17" s="17" t="s">
        <v>114</v>
      </c>
      <c r="AG17" s="15"/>
      <c r="AH17" s="16"/>
      <c r="AI17" s="16"/>
      <c r="AJ17" s="17"/>
    </row>
    <row r="18" spans="1:36" s="10" customFormat="1">
      <c r="A18" s="59"/>
      <c r="B18" s="10">
        <v>1</v>
      </c>
      <c r="C18" s="11"/>
      <c r="M18" s="1"/>
      <c r="N18" s="3"/>
      <c r="O18" s="3"/>
      <c r="P18" s="3"/>
    </row>
    <row r="19" spans="1:36" s="10" customFormat="1">
      <c r="A19" s="59"/>
      <c r="B19" s="10">
        <v>2</v>
      </c>
      <c r="C19" s="11" t="s">
        <v>529</v>
      </c>
      <c r="D19" s="10" t="s">
        <v>6</v>
      </c>
      <c r="E19" s="10" t="s">
        <v>59</v>
      </c>
      <c r="F19" s="10" t="s">
        <v>60</v>
      </c>
      <c r="G19" s="10" t="s">
        <v>530</v>
      </c>
      <c r="H19" s="10" t="s">
        <v>531</v>
      </c>
      <c r="I19" s="10" t="s">
        <v>9</v>
      </c>
      <c r="J19" s="10" t="s">
        <v>61</v>
      </c>
      <c r="K19" s="10" t="s">
        <v>62</v>
      </c>
      <c r="M19" s="2"/>
      <c r="N19" s="3"/>
      <c r="O19" s="3"/>
      <c r="P19" s="3"/>
    </row>
    <row r="20" spans="1:36" s="10" customFormat="1">
      <c r="A20" s="59"/>
      <c r="B20" s="10">
        <v>3</v>
      </c>
      <c r="C20" s="11" t="s">
        <v>78</v>
      </c>
      <c r="D20" s="10">
        <v>4.6500000000000004</v>
      </c>
      <c r="E20" s="10">
        <v>6.2</v>
      </c>
      <c r="F20" s="10">
        <v>0.01</v>
      </c>
      <c r="G20" s="10">
        <v>904</v>
      </c>
      <c r="H20" s="10">
        <v>500</v>
      </c>
      <c r="I20" s="10">
        <v>21.52</v>
      </c>
      <c r="J20" s="10">
        <v>12.7</v>
      </c>
      <c r="K20" s="10">
        <v>11.33</v>
      </c>
      <c r="M20" s="1"/>
      <c r="N20" s="3"/>
      <c r="O20" s="3"/>
      <c r="P20" s="3"/>
    </row>
    <row r="21" spans="1:36" s="10" customFormat="1">
      <c r="A21" s="59"/>
      <c r="B21" s="10">
        <v>4</v>
      </c>
      <c r="C21" s="11" t="s">
        <v>79</v>
      </c>
      <c r="D21" s="10">
        <v>6.36</v>
      </c>
      <c r="E21" s="10">
        <v>6.3</v>
      </c>
      <c r="F21" s="10">
        <v>0.01</v>
      </c>
      <c r="G21" s="10">
        <v>904</v>
      </c>
      <c r="H21" s="10">
        <v>500</v>
      </c>
      <c r="I21" s="10">
        <v>28.13</v>
      </c>
      <c r="J21" s="10">
        <v>22.5</v>
      </c>
      <c r="K21" s="10">
        <v>18.829999999999998</v>
      </c>
      <c r="M21" s="2"/>
      <c r="N21" s="3"/>
      <c r="O21" s="3"/>
      <c r="P21" s="3"/>
    </row>
    <row r="22" spans="1:36" s="10" customFormat="1">
      <c r="A22" s="59"/>
      <c r="B22" s="10">
        <v>5</v>
      </c>
      <c r="C22" s="11" t="s">
        <v>80</v>
      </c>
      <c r="D22" s="10">
        <v>0.18099999999999999</v>
      </c>
      <c r="E22" s="10">
        <v>0.52</v>
      </c>
      <c r="F22" s="10">
        <v>0.08</v>
      </c>
      <c r="G22" s="10">
        <v>634</v>
      </c>
      <c r="H22" s="10">
        <v>660</v>
      </c>
      <c r="I22" s="10">
        <v>0.44</v>
      </c>
      <c r="J22" s="10">
        <v>0.7</v>
      </c>
      <c r="K22" s="10">
        <v>0.74</v>
      </c>
      <c r="M22" s="1"/>
      <c r="N22" s="3"/>
      <c r="O22" s="3"/>
      <c r="P22" s="3"/>
    </row>
    <row r="23" spans="1:36" s="10" customFormat="1">
      <c r="A23" s="59"/>
      <c r="B23" s="10">
        <v>6</v>
      </c>
      <c r="C23" s="11" t="s">
        <v>81</v>
      </c>
      <c r="D23" s="10">
        <v>1.1399999999999999</v>
      </c>
      <c r="E23" s="10">
        <v>2.2999999999999998</v>
      </c>
      <c r="F23" s="10">
        <v>1</v>
      </c>
      <c r="G23" s="10">
        <v>950</v>
      </c>
      <c r="H23" s="10">
        <v>1000</v>
      </c>
      <c r="I23" s="10">
        <v>4.5199999999999996</v>
      </c>
      <c r="J23" s="10">
        <v>5.2</v>
      </c>
      <c r="K23" s="10">
        <v>2.33</v>
      </c>
      <c r="M23" s="2"/>
      <c r="N23" s="3"/>
      <c r="O23" s="3"/>
      <c r="P23" s="3"/>
    </row>
    <row r="24" spans="1:36" s="10" customFormat="1">
      <c r="A24" s="59"/>
      <c r="B24" s="10">
        <v>7</v>
      </c>
      <c r="C24" s="11" t="s">
        <v>151</v>
      </c>
      <c r="D24" s="10">
        <v>4.6500000000000004</v>
      </c>
      <c r="I24" s="10">
        <v>21.52</v>
      </c>
      <c r="M24" s="2"/>
      <c r="N24" s="3"/>
      <c r="O24" s="3"/>
      <c r="P24" s="3"/>
    </row>
    <row r="25" spans="1:36" s="10" customFormat="1">
      <c r="A25" s="59"/>
      <c r="B25" s="10">
        <v>8</v>
      </c>
      <c r="C25" s="11"/>
      <c r="M25" s="2"/>
      <c r="N25" s="3"/>
      <c r="O25" s="3"/>
      <c r="P25" s="3"/>
    </row>
    <row r="26" spans="1:36" s="10" customFormat="1">
      <c r="A26" s="59"/>
      <c r="B26" s="10">
        <v>9</v>
      </c>
      <c r="C26" s="11"/>
      <c r="M26" s="1"/>
      <c r="N26" s="3"/>
      <c r="O26" s="3"/>
      <c r="P26" s="3"/>
    </row>
    <row r="27" spans="1:36" s="10" customFormat="1">
      <c r="A27" s="59"/>
      <c r="B27" s="10">
        <v>10</v>
      </c>
      <c r="C27" s="11"/>
    </row>
    <row r="28" spans="1:36" s="10" customFormat="1">
      <c r="A28" s="59"/>
      <c r="C28" s="11"/>
    </row>
    <row r="30" spans="1:36">
      <c r="D30" t="s">
        <v>16</v>
      </c>
      <c r="E30" s="1214" t="s">
        <v>18</v>
      </c>
      <c r="F30" s="1214" t="s">
        <v>12</v>
      </c>
      <c r="G30" s="1214" t="s">
        <v>48</v>
      </c>
      <c r="H30" s="1214" t="s">
        <v>49</v>
      </c>
      <c r="I30" t="s">
        <v>11</v>
      </c>
      <c r="M30" s="5"/>
      <c r="N30" s="5"/>
      <c r="O30" s="5"/>
      <c r="P30" s="5"/>
      <c r="Q30" s="5"/>
      <c r="R30" s="5"/>
      <c r="S30" s="5"/>
      <c r="T30" s="5"/>
      <c r="U30" s="5"/>
      <c r="V30" s="5"/>
      <c r="W30" s="5"/>
      <c r="X30" s="5"/>
      <c r="Y30" s="5"/>
      <c r="Z30" s="5"/>
      <c r="AA30" s="5"/>
      <c r="AB30" s="5"/>
    </row>
    <row r="31" spans="1:36">
      <c r="D31" t="s">
        <v>17</v>
      </c>
      <c r="E31" s="1214"/>
      <c r="F31" s="1214"/>
      <c r="G31" s="1214"/>
      <c r="H31" s="1214"/>
      <c r="I31" t="s">
        <v>50</v>
      </c>
      <c r="J31" t="s">
        <v>13</v>
      </c>
      <c r="K31" t="s">
        <v>51</v>
      </c>
      <c r="L31" t="s">
        <v>14</v>
      </c>
      <c r="M31" s="5" t="s">
        <v>52</v>
      </c>
      <c r="N31" s="5" t="s">
        <v>53</v>
      </c>
      <c r="O31" s="5" t="s">
        <v>15</v>
      </c>
      <c r="P31" s="5" t="s">
        <v>54</v>
      </c>
      <c r="Q31" s="5"/>
      <c r="R31" s="5"/>
      <c r="S31" s="5"/>
      <c r="T31" s="5"/>
      <c r="U31" s="5"/>
      <c r="V31" s="5"/>
      <c r="W31" s="5"/>
      <c r="X31" s="5"/>
      <c r="Y31" s="5"/>
      <c r="Z31" s="5"/>
      <c r="AA31" s="5"/>
      <c r="AB31" s="5"/>
    </row>
    <row r="32" spans="1:36">
      <c r="D32" s="4" t="e">
        <f>IF('Predictive Calculator'!#REF!&gt;0,'Predictive Calculator'!#REF!,0.03)</f>
        <v>#REF!</v>
      </c>
      <c r="E32" s="4" t="e">
        <f>SUM('Predictive Calculator'!#REF!:'Predictive Calculator'!#REF!)</f>
        <v>#REF!</v>
      </c>
      <c r="F32" s="4" t="e">
        <f>((0.03*'Predictive Calculator'!#REF!)+('Predictive Calculator'!D61*'Predictive Calculator'!#REF!))/E32</f>
        <v>#REF!</v>
      </c>
      <c r="G32" s="4">
        <f>'Reference Lists&amp;Tables'!H29</f>
        <v>0.77200000000000002</v>
      </c>
      <c r="H32" s="4">
        <f>'Reference Lists&amp;Tables'!I29</f>
        <v>-0.98</v>
      </c>
      <c r="I32" s="4">
        <f>'Predictive Calculator'!E21/'Predictive Calculator'!D21</f>
        <v>0.58787878787878789</v>
      </c>
      <c r="J32" s="4" t="e">
        <f>D32/(2.2*(10^(G32+(H32*(LOG((0.03*'Predictive Calculator'!#REF!)/'Predictive Calculator'!G21))))))</f>
        <v>#REF!</v>
      </c>
      <c r="K32" s="4" t="e">
        <f>D32/(2.2*(10^(G32+(H32*(LOG((0.03*E32)/'Predictive Calculator'!G21))))))</f>
        <v>#REF!</v>
      </c>
      <c r="L32" s="4" t="e">
        <f>K32*(2.65*(F32/0.03)^0.5-1.35)</f>
        <v>#REF!</v>
      </c>
      <c r="M32" s="4" t="e">
        <f>(0.976*J32+0.022)^0.625</f>
        <v>#REF!</v>
      </c>
      <c r="N32" s="4" t="e">
        <f>(0.976*K32+0.022)^0.625</f>
        <v>#REF!</v>
      </c>
      <c r="O32" s="4" t="e">
        <f>F32/(2.2*M32)</f>
        <v>#REF!</v>
      </c>
      <c r="P32" s="4" t="e">
        <f>F32/(2.2*N32)</f>
        <v>#REF!</v>
      </c>
      <c r="Q32" s="5"/>
      <c r="R32" s="5"/>
      <c r="S32" s="5"/>
      <c r="T32" s="5"/>
      <c r="U32" s="5"/>
      <c r="V32" s="5"/>
      <c r="W32" s="5"/>
      <c r="X32" s="5"/>
      <c r="Y32" s="5"/>
      <c r="Z32" s="5"/>
      <c r="AA32" s="5"/>
      <c r="AB32" s="5"/>
    </row>
    <row r="33" spans="4:28">
      <c r="D33" s="4" t="e">
        <f>IF('Predictive Calculator'!#REF!&gt;0,'Predictive Calculator'!#REF!,0.03)</f>
        <v>#REF!</v>
      </c>
      <c r="E33" s="4" t="e">
        <f>SUM('Predictive Calculator'!#REF!:'Predictive Calculator'!#REF!)</f>
        <v>#REF!</v>
      </c>
      <c r="F33" s="4" t="e">
        <f>((0.03*'Predictive Calculator'!#REF!)+('Predictive Calculator'!D62*'Predictive Calculator'!#REF!))/E33</f>
        <v>#REF!</v>
      </c>
      <c r="G33" s="4">
        <f>'Reference Lists&amp;Tables'!H30</f>
        <v>0.33</v>
      </c>
      <c r="H33" s="4">
        <f>'Reference Lists&amp;Tables'!I30</f>
        <v>-0.85699999999999998</v>
      </c>
      <c r="I33" s="4">
        <f>'Predictive Calculator'!E22/'Predictive Calculator'!D22</f>
        <v>0.56111111111111112</v>
      </c>
      <c r="J33" s="4" t="e">
        <f>D33/(2.2*(10^(G33+(H33*(LOG((0.03*'Predictive Calculator'!#REF!)/'Predictive Calculator'!G22))))))</f>
        <v>#REF!</v>
      </c>
      <c r="K33" s="4" t="e">
        <f>D33/(2.2*(10^(G33+(H33*(LOG((0.03*E33)/'Predictive Calculator'!G22))))))</f>
        <v>#REF!</v>
      </c>
      <c r="L33" s="4" t="e">
        <f t="shared" ref="L33:L45" si="0">K33*(2.65*(F33/0.03)^0.5-1.35)</f>
        <v>#REF!</v>
      </c>
      <c r="M33" s="4" t="e">
        <f t="shared" ref="M33:M45" si="1">(0.976*J33+0.022)^0.625</f>
        <v>#REF!</v>
      </c>
      <c r="N33" s="4" t="e">
        <f t="shared" ref="N33:N45" si="2">(0.976*K33+0.022)^0.625</f>
        <v>#REF!</v>
      </c>
      <c r="O33" s="4" t="e">
        <f t="shared" ref="O33:O45" si="3">F33/(2.2*M33)</f>
        <v>#REF!</v>
      </c>
      <c r="P33" s="4" t="e">
        <f t="shared" ref="P33:P45" si="4">F33/(2.2*N33)</f>
        <v>#REF!</v>
      </c>
      <c r="Q33" s="5"/>
      <c r="R33" s="5"/>
      <c r="S33" s="5"/>
      <c r="T33" s="5"/>
      <c r="U33" s="5"/>
      <c r="V33" s="5"/>
      <c r="W33" s="5"/>
      <c r="X33" s="5"/>
      <c r="Y33" s="5"/>
      <c r="Z33" s="5"/>
      <c r="AA33" s="5"/>
      <c r="AB33" s="5"/>
    </row>
    <row r="34" spans="4:28">
      <c r="D34" s="4" t="e">
        <f>IF('Predictive Calculator'!#REF!&gt;0,'Predictive Calculator'!#REF!,0.03)</f>
        <v>#REF!</v>
      </c>
      <c r="E34" s="4" t="e">
        <f>SUM('Predictive Calculator'!#REF!:'Predictive Calculator'!#REF!)</f>
        <v>#REF!</v>
      </c>
      <c r="F34" s="4" t="e">
        <f>((0.03*'Predictive Calculator'!#REF!)+('Predictive Calculator'!D63*'Predictive Calculator'!#REF!))/E34</f>
        <v>#REF!</v>
      </c>
      <c r="G34" s="4">
        <f>'Reference Lists&amp;Tables'!H31</f>
        <v>0.82699999999999996</v>
      </c>
      <c r="H34" s="4">
        <f>'Reference Lists&amp;Tables'!I31</f>
        <v>-1.087</v>
      </c>
      <c r="I34" s="4">
        <f>'Predictive Calculator'!E23/'Predictive Calculator'!D23</f>
        <v>0.6166666666666667</v>
      </c>
      <c r="J34" s="4" t="e">
        <f>D34/(2.2*(10^(G34+(H34*(LOG((0.03*'Predictive Calculator'!#REF!)/'Predictive Calculator'!G23))))))</f>
        <v>#REF!</v>
      </c>
      <c r="K34" s="4" t="e">
        <f>D34/(2.2*(10^(G34+(H34*(LOG((0.03*E34)/'Predictive Calculator'!G23))))))</f>
        <v>#REF!</v>
      </c>
      <c r="L34" s="4" t="e">
        <f t="shared" si="0"/>
        <v>#REF!</v>
      </c>
      <c r="M34" s="4" t="e">
        <f t="shared" si="1"/>
        <v>#REF!</v>
      </c>
      <c r="N34" s="4" t="e">
        <f t="shared" si="2"/>
        <v>#REF!</v>
      </c>
      <c r="O34" s="4" t="e">
        <f t="shared" si="3"/>
        <v>#REF!</v>
      </c>
      <c r="P34" s="4" t="e">
        <f t="shared" si="4"/>
        <v>#REF!</v>
      </c>
      <c r="Q34" s="5"/>
      <c r="R34" s="5"/>
      <c r="S34" s="5"/>
      <c r="T34" s="5"/>
      <c r="U34" s="5"/>
      <c r="V34" s="5"/>
      <c r="W34" s="5"/>
      <c r="X34" s="5"/>
      <c r="Y34" s="5"/>
      <c r="Z34" s="5"/>
      <c r="AA34" s="5"/>
      <c r="AB34" s="5"/>
    </row>
    <row r="35" spans="4:28">
      <c r="D35" s="4" t="e">
        <f>IF('Predictive Calculator'!#REF!&gt;0,'Predictive Calculator'!#REF!,0.03)</f>
        <v>#REF!</v>
      </c>
      <c r="E35" s="4" t="e">
        <f>SUM('Predictive Calculator'!#REF!:'Predictive Calculator'!#REF!)</f>
        <v>#REF!</v>
      </c>
      <c r="F35" s="4" t="e">
        <f>((0.03*'Predictive Calculator'!#REF!)+('Predictive Calculator'!D64*'Predictive Calculator'!#REF!))/E35</f>
        <v>#REF!</v>
      </c>
      <c r="G35" s="4">
        <f>'Reference Lists&amp;Tables'!H32</f>
        <v>0.45700000000000002</v>
      </c>
      <c r="H35" s="4">
        <f>'Reference Lists&amp;Tables'!I32</f>
        <v>-0.75</v>
      </c>
      <c r="I35" s="4">
        <f>'Predictive Calculator'!E24/'Predictive Calculator'!D24</f>
        <v>1.1129032258064515</v>
      </c>
      <c r="J35" s="4" t="e">
        <f>D35/(2.2*(10^(G35+(H35*(LOG((0.03*'Predictive Calculator'!#REF!)/'Predictive Calculator'!G24))))))</f>
        <v>#REF!</v>
      </c>
      <c r="K35" s="4" t="e">
        <f>D35/(2.2*(10^(G35+(H35*(LOG((0.03*E35)/'Predictive Calculator'!G24))))))</f>
        <v>#REF!</v>
      </c>
      <c r="L35" s="4" t="e">
        <f t="shared" si="0"/>
        <v>#REF!</v>
      </c>
      <c r="M35" s="4" t="e">
        <f t="shared" si="1"/>
        <v>#REF!</v>
      </c>
      <c r="N35" s="4" t="e">
        <f t="shared" si="2"/>
        <v>#REF!</v>
      </c>
      <c r="O35" s="4" t="e">
        <f t="shared" si="3"/>
        <v>#REF!</v>
      </c>
      <c r="P35" s="4" t="e">
        <f t="shared" si="4"/>
        <v>#REF!</v>
      </c>
      <c r="Q35" s="5"/>
      <c r="R35" s="5"/>
      <c r="S35" s="5"/>
      <c r="T35" s="5"/>
      <c r="U35" s="5"/>
      <c r="V35" s="5"/>
      <c r="W35" s="5"/>
      <c r="X35" s="5"/>
      <c r="Y35" s="5"/>
      <c r="Z35" s="5"/>
      <c r="AA35" s="5"/>
      <c r="AB35" s="5"/>
    </row>
    <row r="36" spans="4:28">
      <c r="D36" s="4" t="e">
        <f>IF('Predictive Calculator'!#REF!&gt;0,'Predictive Calculator'!#REF!,0.03)</f>
        <v>#REF!</v>
      </c>
      <c r="E36" s="4" t="e">
        <f>SUM('Predictive Calculator'!L33:'Predictive Calculator'!#REF!)</f>
        <v>#REF!</v>
      </c>
      <c r="F36" s="4" t="e">
        <f>((0.03*'Predictive Calculator'!L33)+('Predictive Calculator'!D65*'Predictive Calculator'!#REF!))/E36</f>
        <v>#VALUE!</v>
      </c>
      <c r="G36" s="4">
        <f>'Reference Lists&amp;Tables'!H33</f>
        <v>0.45700000000000002</v>
      </c>
      <c r="H36" s="4">
        <f>'Reference Lists&amp;Tables'!I33</f>
        <v>-0.75</v>
      </c>
      <c r="I36" s="4">
        <f>'Predictive Calculator'!E25/'Predictive Calculator'!D25</f>
        <v>1.2466666666666666</v>
      </c>
      <c r="J36" s="4" t="e">
        <f>D36/(2.2*(10^(G36+(H36*(LOG((0.03*'Predictive Calculator'!L33)/'Predictive Calculator'!G25))))))</f>
        <v>#REF!</v>
      </c>
      <c r="K36" s="4" t="e">
        <f>D36/(2.2*(10^(G36+(H36*(LOG((0.03*E36)/'Predictive Calculator'!G25))))))</f>
        <v>#REF!</v>
      </c>
      <c r="L36" s="4" t="e">
        <f t="shared" si="0"/>
        <v>#REF!</v>
      </c>
      <c r="M36" s="4" t="e">
        <f t="shared" si="1"/>
        <v>#REF!</v>
      </c>
      <c r="N36" s="4" t="e">
        <f t="shared" si="2"/>
        <v>#REF!</v>
      </c>
      <c r="O36" s="4" t="e">
        <f t="shared" si="3"/>
        <v>#VALUE!</v>
      </c>
      <c r="P36" s="4" t="e">
        <f t="shared" si="4"/>
        <v>#VALUE!</v>
      </c>
      <c r="Q36" s="5"/>
      <c r="R36" s="5"/>
      <c r="S36" s="5"/>
      <c r="T36" s="5"/>
      <c r="U36" s="5"/>
      <c r="V36" s="5"/>
      <c r="W36" s="5"/>
      <c r="X36" s="5"/>
      <c r="Y36" s="5"/>
      <c r="Z36" s="5"/>
      <c r="AA36" s="5"/>
      <c r="AB36" s="5"/>
    </row>
    <row r="37" spans="4:28">
      <c r="D37" s="4" t="e">
        <f>IF('Predictive Calculator'!#REF!&gt;0,'Predictive Calculator'!#REF!,0.03)</f>
        <v>#REF!</v>
      </c>
      <c r="E37" s="4" t="e">
        <f>SUM('Predictive Calculator'!#REF!:'Predictive Calculator'!#REF!)</f>
        <v>#REF!</v>
      </c>
      <c r="F37" s="4" t="e">
        <f>((0.03*'Predictive Calculator'!#REF!)+('Predictive Calculator'!D66*'Predictive Calculator'!#REF!))/E37</f>
        <v>#REF!</v>
      </c>
      <c r="G37" s="4">
        <f>'Reference Lists&amp;Tables'!H34</f>
        <v>0.29499999999999998</v>
      </c>
      <c r="H37" s="4">
        <f>'Reference Lists&amp;Tables'!I34</f>
        <v>-0.67100000000000004</v>
      </c>
      <c r="I37" s="4">
        <f>'Predictive Calculator'!E26/'Predictive Calculator'!D26</f>
        <v>1.3125</v>
      </c>
      <c r="J37" s="4" t="e">
        <f>D37/(2.2*(10^(G37+(H37*(LOG((0.03*'Predictive Calculator'!#REF!)/'Predictive Calculator'!G26))))))</f>
        <v>#REF!</v>
      </c>
      <c r="K37" s="4" t="e">
        <f>D37/(2.2*(10^(G37+(H37*(LOG((0.03*E37)/'Predictive Calculator'!G26))))))</f>
        <v>#REF!</v>
      </c>
      <c r="L37" s="4" t="e">
        <f t="shared" si="0"/>
        <v>#REF!</v>
      </c>
      <c r="M37" s="4" t="e">
        <f t="shared" si="1"/>
        <v>#REF!</v>
      </c>
      <c r="N37" s="4" t="e">
        <f t="shared" si="2"/>
        <v>#REF!</v>
      </c>
      <c r="O37" s="4" t="e">
        <f t="shared" si="3"/>
        <v>#REF!</v>
      </c>
      <c r="P37" s="4" t="e">
        <f t="shared" si="4"/>
        <v>#REF!</v>
      </c>
      <c r="Q37" s="5"/>
      <c r="R37" s="5"/>
      <c r="S37" s="5"/>
      <c r="T37" s="5"/>
      <c r="U37" s="5"/>
      <c r="V37" s="5"/>
      <c r="W37" s="5"/>
      <c r="X37" s="5"/>
      <c r="Y37" s="5"/>
      <c r="Z37" s="5"/>
      <c r="AA37" s="5"/>
      <c r="AB37" s="5"/>
    </row>
    <row r="38" spans="4:28">
      <c r="D38" s="4" t="e">
        <f>IF('Predictive Calculator'!#REF!&gt;0,'Predictive Calculator'!#REF!,0.03)</f>
        <v>#REF!</v>
      </c>
      <c r="E38" s="4" t="e">
        <f>SUM('Predictive Calculator'!#REF!:'Predictive Calculator'!#REF!)</f>
        <v>#REF!</v>
      </c>
      <c r="F38" s="4" t="e">
        <f>((0.03*'Predictive Calculator'!#REF!)+('Predictive Calculator'!D67*'Predictive Calculator'!#REF!))/E38</f>
        <v>#REF!</v>
      </c>
      <c r="G38" s="4" t="e">
        <f>'Reference Lists&amp;Tables'!H35</f>
        <v>#DIV/0!</v>
      </c>
      <c r="H38" s="4" t="e">
        <f>'Reference Lists&amp;Tables'!I35</f>
        <v>#DIV/0!</v>
      </c>
      <c r="I38" s="4" t="e">
        <f>'Predictive Calculator'!E27/'Predictive Calculator'!D27</f>
        <v>#DIV/0!</v>
      </c>
      <c r="J38" s="4" t="e">
        <f>D38/(2.2*(10^(G38+(H38*(LOG((0.03*'Predictive Calculator'!#REF!)/'Predictive Calculator'!G27))))))</f>
        <v>#REF!</v>
      </c>
      <c r="K38" s="4" t="e">
        <f>D38/(2.2*(10^(G38+(H38*(LOG((0.03*E38)/'Predictive Calculator'!G27))))))</f>
        <v>#REF!</v>
      </c>
      <c r="L38" s="4" t="e">
        <f t="shared" si="0"/>
        <v>#REF!</v>
      </c>
      <c r="M38" s="4" t="e">
        <f t="shared" si="1"/>
        <v>#REF!</v>
      </c>
      <c r="N38" s="4" t="e">
        <f t="shared" si="2"/>
        <v>#REF!</v>
      </c>
      <c r="O38" s="4" t="e">
        <f t="shared" si="3"/>
        <v>#REF!</v>
      </c>
      <c r="P38" s="4" t="e">
        <f t="shared" si="4"/>
        <v>#REF!</v>
      </c>
      <c r="Q38" s="5"/>
      <c r="R38" s="5"/>
      <c r="S38" s="5"/>
      <c r="T38" s="5"/>
      <c r="U38" s="5"/>
      <c r="V38" s="5"/>
      <c r="W38" s="5"/>
      <c r="X38" s="5"/>
      <c r="Y38" s="5"/>
      <c r="Z38" s="5"/>
      <c r="AA38" s="5"/>
      <c r="AB38" s="5"/>
    </row>
    <row r="39" spans="4:28">
      <c r="D39" s="4" t="e">
        <f>IF('Predictive Calculator'!#REF!&gt;0,'Predictive Calculator'!#REF!,0.03)</f>
        <v>#REF!</v>
      </c>
      <c r="E39" s="4" t="e">
        <f>SUM('Predictive Calculator'!#REF!:'Predictive Calculator'!#REF!)</f>
        <v>#REF!</v>
      </c>
      <c r="F39" s="4" t="e">
        <f>((0.03*'Predictive Calculator'!#REF!)+('Predictive Calculator'!D68*'Predictive Calculator'!#REF!))/E39</f>
        <v>#REF!</v>
      </c>
      <c r="G39" s="4" t="e">
        <f>'Reference Lists&amp;Tables'!H36</f>
        <v>#DIV/0!</v>
      </c>
      <c r="H39" s="4" t="e">
        <f>'Reference Lists&amp;Tables'!I36</f>
        <v>#DIV/0!</v>
      </c>
      <c r="I39" s="4" t="e">
        <f>'Predictive Calculator'!E28/'Predictive Calculator'!D28</f>
        <v>#DIV/0!</v>
      </c>
      <c r="J39" s="4" t="e">
        <f>D39/(2.2*(10^(G39+(H39*(LOG((0.03*'Predictive Calculator'!#REF!)/'Predictive Calculator'!G28))))))</f>
        <v>#REF!</v>
      </c>
      <c r="K39" s="4" t="e">
        <f>D39/(2.2*(10^(G39+(H39*(LOG((0.03*E39)/'Predictive Calculator'!G28))))))</f>
        <v>#REF!</v>
      </c>
      <c r="L39" s="4" t="e">
        <f t="shared" si="0"/>
        <v>#REF!</v>
      </c>
      <c r="M39" s="4" t="e">
        <f t="shared" si="1"/>
        <v>#REF!</v>
      </c>
      <c r="N39" s="4" t="e">
        <f t="shared" si="2"/>
        <v>#REF!</v>
      </c>
      <c r="O39" s="4" t="e">
        <f t="shared" si="3"/>
        <v>#REF!</v>
      </c>
      <c r="P39" s="4" t="e">
        <f t="shared" si="4"/>
        <v>#REF!</v>
      </c>
      <c r="Q39" s="5"/>
      <c r="R39" s="5"/>
      <c r="S39" s="5"/>
      <c r="T39" s="5"/>
      <c r="U39" s="5"/>
      <c r="V39" s="5"/>
      <c r="W39" s="5"/>
      <c r="X39" s="5"/>
      <c r="Y39" s="5"/>
      <c r="Z39" s="5"/>
      <c r="AA39" s="5"/>
      <c r="AB39" s="5"/>
    </row>
    <row r="40" spans="4:28">
      <c r="D40" s="4" t="e">
        <f>IF('Predictive Calculator'!#REF!&gt;0,'Predictive Calculator'!#REF!,0.03)</f>
        <v>#REF!</v>
      </c>
      <c r="E40" s="4" t="e">
        <f>SUM('Predictive Calculator'!#REF!:'Predictive Calculator'!#REF!)</f>
        <v>#REF!</v>
      </c>
      <c r="F40" s="4" t="e">
        <f>((0.03*'Predictive Calculator'!#REF!)+('Predictive Calculator'!D69*'Predictive Calculator'!#REF!))/E40</f>
        <v>#REF!</v>
      </c>
      <c r="G40" s="4" t="e">
        <f>'Reference Lists&amp;Tables'!H37</f>
        <v>#DIV/0!</v>
      </c>
      <c r="H40" s="4" t="e">
        <f>'Reference Lists&amp;Tables'!I37</f>
        <v>#DIV/0!</v>
      </c>
      <c r="I40" s="4" t="e">
        <f>'Predictive Calculator'!E29/'Predictive Calculator'!D29</f>
        <v>#DIV/0!</v>
      </c>
      <c r="J40" s="4" t="e">
        <f>D40/(2.2*(10^(G40+(H40*(LOG((0.03*'Predictive Calculator'!#REF!)/'Predictive Calculator'!G29))))))</f>
        <v>#REF!</v>
      </c>
      <c r="K40" s="4" t="e">
        <f>D40/(2.2*(10^(G40+(H40*(LOG((0.03*E40)/'Predictive Calculator'!G29))))))</f>
        <v>#REF!</v>
      </c>
      <c r="L40" s="4" t="e">
        <f t="shared" si="0"/>
        <v>#REF!</v>
      </c>
      <c r="M40" s="4" t="e">
        <f t="shared" si="1"/>
        <v>#REF!</v>
      </c>
      <c r="N40" s="4" t="e">
        <f t="shared" si="2"/>
        <v>#REF!</v>
      </c>
      <c r="O40" s="4" t="e">
        <f t="shared" si="3"/>
        <v>#REF!</v>
      </c>
      <c r="P40" s="4" t="e">
        <f t="shared" si="4"/>
        <v>#REF!</v>
      </c>
      <c r="Q40" s="5"/>
      <c r="R40" s="5"/>
      <c r="S40" s="5"/>
      <c r="T40" s="5"/>
      <c r="U40" s="5"/>
      <c r="V40" s="5"/>
      <c r="W40" s="5"/>
      <c r="X40" s="5"/>
      <c r="Y40" s="5"/>
      <c r="Z40" s="5"/>
      <c r="AA40" s="5"/>
      <c r="AB40" s="5"/>
    </row>
    <row r="41" spans="4:28">
      <c r="D41" s="4" t="e">
        <f>IF('Predictive Calculator'!#REF!&gt;0,'Predictive Calculator'!#REF!,0.03)</f>
        <v>#REF!</v>
      </c>
      <c r="E41" s="4">
        <f>SUM('Predictive Calculator'!AN30:'Predictive Calculator'!AO30)</f>
        <v>0</v>
      </c>
      <c r="F41" s="4" t="e">
        <f>((0.03*'Predictive Calculator'!AN30)+('Predictive Calculator'!AP30*'Predictive Calculator'!AO30))/E41</f>
        <v>#VALUE!</v>
      </c>
      <c r="G41" s="4">
        <f>'Reference Lists&amp;Tables'!H38</f>
        <v>0.87</v>
      </c>
      <c r="H41" s="4">
        <f>'Reference Lists&amp;Tables'!I38</f>
        <v>-1.006</v>
      </c>
      <c r="I41" s="4" t="e">
        <f>'Predictive Calculator'!E30/'Predictive Calculator'!D30</f>
        <v>#DIV/0!</v>
      </c>
      <c r="J41" s="4" t="e">
        <f>D41/(2.2*(10^(G41+(H41*(LOG((0.03*'Predictive Calculator'!AN30)/'Predictive Calculator'!G30))))))</f>
        <v>#REF!</v>
      </c>
      <c r="K41" s="4" t="e">
        <f>D41/(2.2*(10^(G41+(H41*(LOG((0.03*E41)/'Predictive Calculator'!G30))))))</f>
        <v>#REF!</v>
      </c>
      <c r="L41" s="4" t="e">
        <f t="shared" si="0"/>
        <v>#REF!</v>
      </c>
      <c r="M41" s="4" t="e">
        <f t="shared" si="1"/>
        <v>#REF!</v>
      </c>
      <c r="N41" s="4" t="e">
        <f t="shared" si="2"/>
        <v>#REF!</v>
      </c>
      <c r="O41" s="4" t="e">
        <f t="shared" si="3"/>
        <v>#VALUE!</v>
      </c>
      <c r="P41" s="4" t="e">
        <f t="shared" si="4"/>
        <v>#VALUE!</v>
      </c>
      <c r="Q41" s="5"/>
      <c r="R41" s="5"/>
      <c r="S41" s="5"/>
      <c r="T41" s="5"/>
      <c r="U41" s="5"/>
      <c r="V41" s="5"/>
      <c r="W41" s="5"/>
      <c r="X41" s="5"/>
      <c r="Y41" s="5"/>
      <c r="Z41" s="5"/>
      <c r="AA41" s="5"/>
      <c r="AB41" s="5"/>
    </row>
    <row r="42" spans="4:28">
      <c r="D42" s="4">
        <f>IF('Predictive Calculator'!E31&gt;0,'Predictive Calculator'!E31,0.03)</f>
        <v>0.03</v>
      </c>
      <c r="E42" s="4">
        <f>SUM('Predictive Calculator'!AQ31:'Predictive Calculator'!AR31)</f>
        <v>59.2</v>
      </c>
      <c r="F42" s="4">
        <f>((0.03*'Predictive Calculator'!AQ31)+('Predictive Calculator'!AS31*'Predictive Calculator'!AR31))/E42</f>
        <v>1.5120870870870868</v>
      </c>
      <c r="G42" s="4" t="e">
        <f>'Reference Lists&amp;Tables'!H39</f>
        <v>#DIV/0!</v>
      </c>
      <c r="H42" s="4" t="e">
        <f>'Reference Lists&amp;Tables'!I39</f>
        <v>#DIV/0!</v>
      </c>
      <c r="I42" s="4" t="e">
        <f>'Predictive Calculator'!L54/'Predictive Calculator'!G31</f>
        <v>#DIV/0!</v>
      </c>
      <c r="J42" s="4" t="e">
        <f>D42/(2.2*(10^(G42+(H42*(LOG((0.03*'Predictive Calculator'!AQ31)/'Predictive Calculator'!D71))))))</f>
        <v>#DIV/0!</v>
      </c>
      <c r="K42" s="4" t="e">
        <f>D42/(2.2*(10^(G42+(H42*(LOG((0.03*E42)/'Predictive Calculator'!D71))))))</f>
        <v>#DIV/0!</v>
      </c>
      <c r="L42" s="4" t="e">
        <f t="shared" si="0"/>
        <v>#DIV/0!</v>
      </c>
      <c r="M42" s="4" t="e">
        <f t="shared" si="1"/>
        <v>#DIV/0!</v>
      </c>
      <c r="N42" s="4" t="e">
        <f t="shared" si="2"/>
        <v>#DIV/0!</v>
      </c>
      <c r="O42" s="4" t="e">
        <f t="shared" si="3"/>
        <v>#DIV/0!</v>
      </c>
      <c r="P42" s="4" t="e">
        <f t="shared" si="4"/>
        <v>#DIV/0!</v>
      </c>
      <c r="Q42" s="5"/>
      <c r="R42" s="5"/>
      <c r="S42" s="5"/>
      <c r="T42" s="5"/>
      <c r="U42" s="5"/>
      <c r="V42" s="5"/>
      <c r="W42" s="5"/>
      <c r="X42" s="5"/>
      <c r="Y42" s="5"/>
      <c r="Z42" s="5"/>
      <c r="AA42" s="5"/>
      <c r="AB42" s="5"/>
    </row>
    <row r="43" spans="4:28">
      <c r="D43" s="4">
        <f>IF('Predictive Calculator'!E32&gt;0,'Predictive Calculator'!E32,0.03)</f>
        <v>0.03</v>
      </c>
      <c r="E43" s="4">
        <f>SUM('Predictive Calculator'!AQ32:'Predictive Calculator'!AR32)</f>
        <v>59.2</v>
      </c>
      <c r="F43" s="4">
        <f>((0.03*'Predictive Calculator'!AQ32)+('Predictive Calculator'!AS32*'Predictive Calculator'!AR32))/E43</f>
        <v>1.5120870870870868</v>
      </c>
      <c r="G43" s="4" t="e">
        <f>'Reference Lists&amp;Tables'!H40</f>
        <v>#REF!</v>
      </c>
      <c r="H43" s="4" t="e">
        <f>'Reference Lists&amp;Tables'!I40</f>
        <v>#REF!</v>
      </c>
      <c r="I43" s="4" t="e">
        <f>'Predictive Calculator'!#REF!/'Predictive Calculator'!G32</f>
        <v>#REF!</v>
      </c>
      <c r="J43" s="4" t="e">
        <f>D43/(2.2*(10^(G43+(H43*(LOG((0.03*'Predictive Calculator'!AQ32)/'Predictive Calculator'!D72))))))</f>
        <v>#REF!</v>
      </c>
      <c r="K43" s="4" t="e">
        <f>D43/(2.2*(10^(G43+(H43*(LOG((0.03*E43)/'Predictive Calculator'!D72))))))</f>
        <v>#REF!</v>
      </c>
      <c r="L43" s="4" t="e">
        <f t="shared" si="0"/>
        <v>#REF!</v>
      </c>
      <c r="M43" s="4" t="e">
        <f t="shared" si="1"/>
        <v>#REF!</v>
      </c>
      <c r="N43" s="4" t="e">
        <f t="shared" si="2"/>
        <v>#REF!</v>
      </c>
      <c r="O43" s="4" t="e">
        <f t="shared" si="3"/>
        <v>#REF!</v>
      </c>
      <c r="P43" s="4" t="e">
        <f t="shared" si="4"/>
        <v>#REF!</v>
      </c>
      <c r="Q43" s="5"/>
      <c r="R43" s="5"/>
      <c r="S43" s="5"/>
      <c r="T43" s="5"/>
      <c r="U43" s="5"/>
      <c r="V43" s="5"/>
      <c r="W43" s="5"/>
      <c r="X43" s="5"/>
      <c r="Y43" s="5"/>
      <c r="Z43" s="5"/>
      <c r="AA43" s="5"/>
      <c r="AB43" s="5"/>
    </row>
    <row r="44" spans="4:28">
      <c r="D44" s="4">
        <f>IF('Predictive Calculator'!V76&gt;0,'Predictive Calculator'!V76,0.03)</f>
        <v>0.03</v>
      </c>
      <c r="E44" s="4">
        <f>SUM('Predictive Calculator'!AQ33:'Predictive Calculator'!AR33)</f>
        <v>0</v>
      </c>
      <c r="F44" s="4" t="e">
        <f>((0.03*'Predictive Calculator'!AQ33)+('Predictive Calculator'!AS33*'Predictive Calculator'!AR33))/E44</f>
        <v>#DIV/0!</v>
      </c>
      <c r="G44" s="4" t="str">
        <f>'Reference Lists&amp;Tables'!H43</f>
        <v>Lookup table for Predictive plant yield</v>
      </c>
      <c r="H44" s="4">
        <f>'Reference Lists&amp;Tables'!I43</f>
        <v>0</v>
      </c>
      <c r="I44" s="4" t="e">
        <f>'Predictive Calculator'!I76/'Predictive Calculator'!X76</f>
        <v>#DIV/0!</v>
      </c>
      <c r="J44" s="4" t="e">
        <f>D44/(2.2*(10^(G44+(H44*(LOG((0.03*'Predictive Calculator'!AQ33)/'Predictive Calculator'!#REF!))))))</f>
        <v>#VALUE!</v>
      </c>
      <c r="K44" s="4" t="e">
        <f>D44/(2.2*(10^(G44+(H44*(LOG((0.03*E44)/'Predictive Calculator'!#REF!))))))</f>
        <v>#VALUE!</v>
      </c>
      <c r="L44" s="4" t="e">
        <f t="shared" si="0"/>
        <v>#VALUE!</v>
      </c>
      <c r="M44" s="4" t="e">
        <f t="shared" si="1"/>
        <v>#VALUE!</v>
      </c>
      <c r="N44" s="4" t="e">
        <f t="shared" si="2"/>
        <v>#VALUE!</v>
      </c>
      <c r="O44" s="4" t="e">
        <f t="shared" si="3"/>
        <v>#DIV/0!</v>
      </c>
      <c r="P44" s="4" t="e">
        <f t="shared" si="4"/>
        <v>#DIV/0!</v>
      </c>
      <c r="Q44" s="5"/>
      <c r="R44" s="5"/>
      <c r="S44" s="5"/>
      <c r="T44" s="5"/>
      <c r="U44" s="5"/>
      <c r="V44" s="5"/>
      <c r="W44" s="5"/>
      <c r="X44" s="5"/>
      <c r="Y44" s="5"/>
      <c r="Z44" s="5"/>
      <c r="AA44" s="5"/>
      <c r="AB44" s="5"/>
    </row>
    <row r="45" spans="4:28">
      <c r="D45" s="4">
        <f>IF('Predictive Calculator'!P11&gt;0,'Predictive Calculator'!P11,0.03)</f>
        <v>0.03</v>
      </c>
      <c r="E45" s="4" t="e">
        <f>SUM('Predictive Calculator'!AH41:'Predictive Calculator'!#REF!)</f>
        <v>#REF!</v>
      </c>
      <c r="F45" s="4" t="e">
        <f>((0.03*'Predictive Calculator'!AH41)+('Predictive Calculator'!#REF!*'Predictive Calculator'!#REF!))/E45</f>
        <v>#REF!</v>
      </c>
      <c r="G45" s="4">
        <f>'Reference Lists&amp;Tables'!H44</f>
        <v>0</v>
      </c>
      <c r="H45" s="4" t="e">
        <f>'Reference Lists&amp;Tables'!#REF!</f>
        <v>#REF!</v>
      </c>
      <c r="I45" s="4" t="e">
        <f>'Predictive Calculator'!#REF!/'Predictive Calculator'!R11</f>
        <v>#REF!</v>
      </c>
      <c r="J45" s="4" t="e">
        <f>D45/(2.2*(10^(G45+(H45*(LOG((0.03*'Predictive Calculator'!AH41)/'Predictive Calculator'!O84))))))</f>
        <v>#REF!</v>
      </c>
      <c r="K45" s="4" t="e">
        <f>D45/(2.2*(10^(G45+(H45*(LOG((0.03*E45)/'Predictive Calculator'!O84))))))</f>
        <v>#REF!</v>
      </c>
      <c r="L45" s="4" t="e">
        <f t="shared" si="0"/>
        <v>#REF!</v>
      </c>
      <c r="M45" s="4" t="e">
        <f t="shared" si="1"/>
        <v>#REF!</v>
      </c>
      <c r="N45" s="4" t="e">
        <f t="shared" si="2"/>
        <v>#REF!</v>
      </c>
      <c r="O45" s="4" t="e">
        <f t="shared" si="3"/>
        <v>#REF!</v>
      </c>
      <c r="P45" s="4" t="e">
        <f t="shared" si="4"/>
        <v>#REF!</v>
      </c>
      <c r="Q45" s="5"/>
      <c r="R45" s="5"/>
      <c r="S45" s="5"/>
      <c r="T45" s="5"/>
      <c r="U45" s="5"/>
      <c r="V45" s="5"/>
      <c r="W45" s="5"/>
      <c r="X45" s="5"/>
      <c r="Y45" s="5"/>
      <c r="Z45" s="5"/>
      <c r="AA45" s="5"/>
      <c r="AB45" s="5"/>
    </row>
    <row r="46" spans="4:28">
      <c r="M46" s="5"/>
      <c r="N46" s="5"/>
      <c r="O46" s="5"/>
      <c r="P46" s="5"/>
      <c r="Q46" s="5"/>
      <c r="R46" s="5"/>
      <c r="S46" s="5"/>
      <c r="T46" s="5"/>
      <c r="U46" s="5"/>
      <c r="V46" s="5"/>
      <c r="W46" s="5"/>
      <c r="X46" s="5"/>
      <c r="Y46" s="5"/>
      <c r="Z46" s="5"/>
      <c r="AA46" s="5"/>
      <c r="AB46" s="5"/>
    </row>
    <row r="47" spans="4:28">
      <c r="M47" s="5"/>
      <c r="N47" s="5"/>
      <c r="O47" s="5"/>
      <c r="P47" s="5"/>
      <c r="Q47" s="5"/>
      <c r="R47" s="5"/>
      <c r="S47" s="5"/>
      <c r="T47" s="5"/>
      <c r="U47" s="5"/>
      <c r="V47" s="5"/>
      <c r="W47" s="5"/>
      <c r="X47" s="5"/>
      <c r="Y47" s="5"/>
      <c r="Z47" s="5"/>
      <c r="AA47" s="5"/>
      <c r="AB47" s="5"/>
    </row>
    <row r="48" spans="4:28">
      <c r="M48" s="5"/>
      <c r="N48" s="5"/>
      <c r="O48" s="5"/>
      <c r="P48" s="5"/>
      <c r="Q48" s="5"/>
      <c r="R48" s="5"/>
      <c r="S48" s="5"/>
      <c r="T48" s="5"/>
      <c r="U48" s="5"/>
      <c r="V48" s="5"/>
      <c r="W48" s="5"/>
      <c r="X48" s="5"/>
      <c r="Y48" s="5"/>
      <c r="Z48" s="5"/>
      <c r="AA48" s="5"/>
      <c r="AB48" s="5"/>
    </row>
    <row r="49" spans="13:28">
      <c r="M49" s="5"/>
      <c r="N49" s="5"/>
      <c r="O49" s="5"/>
      <c r="P49" s="5"/>
      <c r="Q49" s="5"/>
      <c r="R49" s="5"/>
      <c r="S49" s="5"/>
      <c r="T49" s="5"/>
      <c r="U49" s="5"/>
      <c r="V49" s="5"/>
      <c r="W49" s="5"/>
      <c r="X49" s="5"/>
      <c r="Y49" s="5"/>
      <c r="Z49" s="5"/>
      <c r="AA49" s="5"/>
      <c r="AB49" s="5"/>
    </row>
    <row r="50" spans="13:28">
      <c r="O50" s="3"/>
      <c r="P50" s="3"/>
    </row>
    <row r="51" spans="13:28">
      <c r="M51" s="1"/>
      <c r="N51" s="3"/>
      <c r="O51" s="3"/>
      <c r="P51" s="3"/>
    </row>
    <row r="52" spans="13:28">
      <c r="M52" s="2"/>
      <c r="N52" s="3"/>
      <c r="O52" s="3"/>
      <c r="P52" s="3"/>
    </row>
    <row r="53" spans="13:28">
      <c r="M53" s="1"/>
      <c r="N53" s="3"/>
      <c r="O53" s="3"/>
      <c r="P53" s="3"/>
    </row>
    <row r="54" spans="13:28">
      <c r="M54" s="2"/>
      <c r="N54" s="3"/>
      <c r="O54" s="3"/>
      <c r="P54" s="3"/>
    </row>
    <row r="55" spans="13:28">
      <c r="M55" s="1"/>
      <c r="N55" s="3"/>
      <c r="O55" s="3"/>
      <c r="P55" s="3"/>
    </row>
    <row r="56" spans="13:28">
      <c r="M56" s="2"/>
      <c r="N56" s="3"/>
      <c r="O56" s="3"/>
      <c r="P56" s="3"/>
    </row>
    <row r="57" spans="13:28">
      <c r="M57" s="1"/>
      <c r="N57" s="3"/>
      <c r="O57" s="3"/>
      <c r="P57" s="3"/>
    </row>
    <row r="58" spans="13:28">
      <c r="M58" s="2"/>
      <c r="N58" s="3"/>
      <c r="O58" s="3"/>
      <c r="P58" s="3"/>
    </row>
    <row r="59" spans="13:28">
      <c r="M59" s="2"/>
      <c r="N59" s="3"/>
      <c r="O59" s="3"/>
      <c r="P59" s="3"/>
    </row>
    <row r="60" spans="13:28">
      <c r="M60" s="2"/>
      <c r="N60" s="3"/>
      <c r="O60" s="3"/>
      <c r="P60" s="3"/>
    </row>
    <row r="61" spans="13:28">
      <c r="M61" s="1"/>
      <c r="N61" s="3"/>
      <c r="O61" s="3"/>
      <c r="P61" s="3"/>
    </row>
  </sheetData>
  <mergeCells count="10">
    <mergeCell ref="E30:E31"/>
    <mergeCell ref="F30:F31"/>
    <mergeCell ref="G30:G31"/>
    <mergeCell ref="H30:H31"/>
    <mergeCell ref="D16:E16"/>
    <mergeCell ref="I15:N15"/>
    <mergeCell ref="J17:P17"/>
    <mergeCell ref="F15:H15"/>
    <mergeCell ref="R15:U15"/>
    <mergeCell ref="V15:AA15"/>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unit" xr:uid="{00000000-0002-0000-0600-000000000000}">
          <x14:formula1>
            <xm:f>'Reference Lists&amp;Tables'!$E$5:$E$8</xm:f>
          </x14:formula1>
          <xm:sqref>AB16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39997558519241921"/>
    <pageSetUpPr fitToPage="1"/>
  </sheetPr>
  <dimension ref="B1:AX85"/>
  <sheetViews>
    <sheetView zoomScale="75" zoomScaleNormal="75" workbookViewId="0">
      <selection activeCell="E32" sqref="E32:E34"/>
    </sheetView>
  </sheetViews>
  <sheetFormatPr defaultColWidth="9.1796875" defaultRowHeight="14.5"/>
  <cols>
    <col min="1" max="1" width="3.1796875" style="103" customWidth="1"/>
    <col min="2" max="2" width="9.81640625" style="162" customWidth="1"/>
    <col min="3" max="3" width="22.453125" style="162" customWidth="1"/>
    <col min="4" max="4" width="14" style="162" customWidth="1"/>
    <col min="5" max="5" width="11" style="162" customWidth="1"/>
    <col min="6" max="6" width="11.1796875" style="162" customWidth="1"/>
    <col min="7" max="7" width="13" style="162" customWidth="1"/>
    <col min="8" max="8" width="12.54296875" style="162" customWidth="1"/>
    <col min="9" max="9" width="15.1796875" style="162" customWidth="1"/>
    <col min="10" max="10" width="18.54296875" style="162" customWidth="1"/>
    <col min="11" max="11" width="14.81640625" style="162" customWidth="1"/>
    <col min="12" max="12" width="13.453125" style="162" customWidth="1"/>
    <col min="13" max="13" width="12.453125" style="162" customWidth="1"/>
    <col min="14" max="14" width="14.1796875" style="162" customWidth="1"/>
    <col min="15" max="16" width="9.1796875" style="162" customWidth="1"/>
    <col min="17" max="17" width="11.453125" style="162" customWidth="1"/>
    <col min="18" max="19" width="9.1796875" style="162" customWidth="1"/>
    <col min="20" max="20" width="10.453125" style="162" customWidth="1"/>
    <col min="21" max="21" width="10" style="162" customWidth="1"/>
    <col min="22" max="22" width="11.1796875" style="162" customWidth="1"/>
    <col min="23" max="24" width="9.1796875" style="162" customWidth="1"/>
    <col min="25" max="25" width="11.81640625" style="162" customWidth="1"/>
    <col min="26" max="27" width="9.1796875" style="162" customWidth="1"/>
    <col min="28" max="28" width="4" style="103" customWidth="1"/>
    <col min="29" max="30" width="9.1796875" style="103" customWidth="1"/>
    <col min="31" max="31" width="4.1796875" style="103" customWidth="1"/>
    <col min="32" max="33" width="9.1796875" style="103" customWidth="1"/>
    <col min="34" max="34" width="14" style="103" customWidth="1"/>
    <col min="35" max="43" width="9.1796875" style="103" customWidth="1"/>
    <col min="44" max="44" width="9.81640625" style="103" customWidth="1"/>
    <col min="45" max="45" width="9.1796875" style="103" customWidth="1"/>
    <col min="46" max="46" width="10.1796875" style="103" customWidth="1"/>
    <col min="47" max="52" width="9.1796875" style="103" customWidth="1"/>
    <col min="53" max="16384" width="9.1796875" style="103"/>
  </cols>
  <sheetData>
    <row r="1" spans="2:38" ht="15" thickBot="1">
      <c r="C1" s="943" t="str">
        <f>'Front Page'!C1:D1</f>
        <v>Printed on</v>
      </c>
      <c r="D1" s="943"/>
      <c r="E1" s="944">
        <f ca="1">'Front Page'!E1</f>
        <v>44610.35418101852</v>
      </c>
      <c r="F1" s="944"/>
      <c r="G1" s="944"/>
    </row>
    <row r="2" spans="2:38" ht="41.25" customHeight="1" thickBot="1">
      <c r="B2" s="1241" t="s">
        <v>762</v>
      </c>
      <c r="C2" s="1242"/>
      <c r="D2" s="1242"/>
      <c r="E2" s="1242"/>
      <c r="F2" s="1242"/>
      <c r="G2" s="1242"/>
      <c r="H2" s="1242"/>
      <c r="I2" s="1234" t="str">
        <f>'Front Page'!C5</f>
        <v xml:space="preserve">Version Number </v>
      </c>
      <c r="J2" s="1234"/>
      <c r="K2" s="311" t="str">
        <f>'Front Page'!E5</f>
        <v xml:space="preserve">2.2.2a </v>
      </c>
      <c r="L2" s="311" t="str">
        <f>'Front Page'!F5</f>
        <v xml:space="preserve">    11 February 2022</v>
      </c>
      <c r="M2" s="455"/>
      <c r="N2" s="215"/>
      <c r="O2" s="215"/>
      <c r="P2" s="215"/>
      <c r="Q2" s="215"/>
      <c r="R2" s="462" t="s">
        <v>813</v>
      </c>
      <c r="S2" s="215"/>
      <c r="T2" s="463">
        <v>1</v>
      </c>
      <c r="U2" s="165" t="s">
        <v>814</v>
      </c>
      <c r="V2" s="215"/>
      <c r="W2" s="215"/>
      <c r="X2" s="215"/>
      <c r="Y2" s="215"/>
      <c r="Z2" s="215"/>
      <c r="AA2" s="522"/>
    </row>
    <row r="3" spans="2:38" ht="27" customHeight="1">
      <c r="B3" s="201" t="s">
        <v>761</v>
      </c>
      <c r="C3" s="103"/>
      <c r="D3" s="103"/>
      <c r="E3" s="103"/>
      <c r="F3" s="103"/>
      <c r="G3" s="103"/>
      <c r="H3" s="103"/>
      <c r="I3" s="103"/>
      <c r="J3" s="103"/>
      <c r="K3" s="103"/>
      <c r="L3" s="1249" t="s">
        <v>654</v>
      </c>
      <c r="M3" s="1249"/>
      <c r="N3" s="928" t="s">
        <v>911</v>
      </c>
      <c r="O3" s="928"/>
      <c r="P3" s="928"/>
      <c r="Q3" s="161"/>
      <c r="R3" s="161"/>
      <c r="T3" s="228"/>
      <c r="U3" s="105" t="s">
        <v>815</v>
      </c>
      <c r="V3" s="161"/>
      <c r="W3" s="161"/>
      <c r="X3" s="161"/>
      <c r="Y3" s="161"/>
      <c r="Z3" s="161"/>
      <c r="AA3" s="168"/>
    </row>
    <row r="4" spans="2:38" ht="21.75" customHeight="1">
      <c r="B4" s="284" t="s">
        <v>1072</v>
      </c>
      <c r="C4" s="204"/>
      <c r="D4" s="204"/>
      <c r="E4" s="204"/>
      <c r="F4" s="204"/>
      <c r="G4" s="204"/>
      <c r="H4" s="204"/>
      <c r="I4" s="204"/>
      <c r="J4" s="204"/>
      <c r="K4" s="204"/>
      <c r="L4" s="956"/>
      <c r="M4" s="956"/>
      <c r="N4" s="956"/>
      <c r="Q4" s="161"/>
      <c r="R4" s="161"/>
      <c r="T4" s="98"/>
      <c r="U4" s="105" t="s">
        <v>1075</v>
      </c>
      <c r="V4" s="161"/>
      <c r="W4" s="161"/>
      <c r="AA4" s="524"/>
      <c r="AG4" s="157"/>
      <c r="AH4" s="157"/>
      <c r="AI4" s="162"/>
      <c r="AJ4" s="162"/>
      <c r="AK4" s="162"/>
      <c r="AL4" s="162"/>
    </row>
    <row r="5" spans="2:38" ht="15.5">
      <c r="B5" s="284" t="s">
        <v>1073</v>
      </c>
      <c r="C5" s="204"/>
      <c r="D5" s="204"/>
      <c r="E5" s="204"/>
      <c r="F5" s="204"/>
      <c r="G5" s="204"/>
      <c r="H5" s="204"/>
      <c r="I5" s="204"/>
      <c r="J5" s="204"/>
      <c r="K5" s="204"/>
      <c r="L5" s="544"/>
      <c r="M5" s="544"/>
      <c r="Q5" s="161"/>
      <c r="R5" s="161"/>
      <c r="T5" s="273"/>
      <c r="U5" s="221" t="s">
        <v>896</v>
      </c>
      <c r="V5" s="161"/>
      <c r="W5" s="161"/>
      <c r="AA5" s="524"/>
      <c r="AG5" s="157"/>
      <c r="AH5" s="157"/>
      <c r="AI5" s="162"/>
      <c r="AJ5" s="162"/>
      <c r="AK5" s="162"/>
      <c r="AL5" s="162"/>
    </row>
    <row r="6" spans="2:38" ht="15.5">
      <c r="B6" s="284" t="s">
        <v>1074</v>
      </c>
      <c r="C6" s="204"/>
      <c r="D6" s="204"/>
      <c r="E6" s="204"/>
      <c r="F6" s="204"/>
      <c r="G6" s="204"/>
      <c r="H6" s="204"/>
      <c r="I6" s="204"/>
      <c r="J6" s="204"/>
      <c r="K6" s="204"/>
      <c r="L6" s="204"/>
      <c r="M6" s="204"/>
      <c r="Q6" s="161"/>
      <c r="R6" s="161"/>
      <c r="S6" s="161"/>
      <c r="T6" s="615"/>
      <c r="U6" s="221" t="s">
        <v>1478</v>
      </c>
      <c r="V6" s="103"/>
      <c r="W6" s="209"/>
      <c r="X6" s="209"/>
      <c r="Y6" s="209"/>
      <c r="Z6" s="209"/>
      <c r="AA6" s="550"/>
      <c r="AB6" s="63"/>
      <c r="AC6" s="63"/>
      <c r="AG6" s="157"/>
      <c r="AH6" s="157"/>
      <c r="AI6" s="103" t="str">
        <f>M35</f>
        <v>Barley, hay</v>
      </c>
    </row>
    <row r="7" spans="2:38" ht="15.5">
      <c r="B7" s="523"/>
      <c r="C7" s="204"/>
      <c r="D7" s="204"/>
      <c r="E7" s="204"/>
      <c r="F7" s="204"/>
      <c r="G7" s="204"/>
      <c r="H7" s="204"/>
      <c r="I7" s="204"/>
      <c r="J7" s="204"/>
      <c r="K7" s="204"/>
      <c r="L7" s="204"/>
      <c r="M7" s="204"/>
      <c r="Q7" s="161"/>
      <c r="R7" s="161"/>
      <c r="S7" s="161"/>
      <c r="T7" s="161"/>
      <c r="U7" s="161"/>
      <c r="V7" s="457"/>
      <c r="W7" s="209"/>
      <c r="X7" s="209"/>
      <c r="Y7" s="209"/>
      <c r="Z7" s="209"/>
      <c r="AA7" s="550"/>
      <c r="AB7" s="63"/>
      <c r="AC7" s="63"/>
      <c r="AG7" s="157"/>
      <c r="AH7" s="157"/>
    </row>
    <row r="8" spans="2:38" ht="15.5">
      <c r="B8" s="525"/>
      <c r="C8" s="204"/>
      <c r="D8" s="204"/>
      <c r="E8" s="204"/>
      <c r="F8" s="204"/>
      <c r="G8" s="204"/>
      <c r="H8" s="204"/>
      <c r="I8" s="204"/>
      <c r="J8" s="204"/>
      <c r="K8" s="204"/>
      <c r="L8" s="204"/>
      <c r="M8" s="204"/>
      <c r="Q8" s="161"/>
      <c r="R8" s="161"/>
      <c r="S8" s="161"/>
      <c r="T8" s="161"/>
      <c r="U8" s="161"/>
      <c r="V8" s="457"/>
      <c r="W8" s="209"/>
      <c r="X8" s="209"/>
      <c r="Y8" s="209"/>
      <c r="Z8" s="209"/>
      <c r="AA8" s="550"/>
      <c r="AB8" s="63"/>
      <c r="AC8" s="63"/>
      <c r="AG8" s="157"/>
      <c r="AH8" s="157"/>
    </row>
    <row r="9" spans="2:38" ht="30.75" customHeight="1">
      <c r="B9" s="526"/>
      <c r="C9" s="542"/>
      <c r="D9" s="542"/>
      <c r="E9" s="542"/>
      <c r="F9" s="542"/>
      <c r="G9" s="542"/>
      <c r="H9" s="542"/>
      <c r="I9" s="542"/>
      <c r="J9" s="542"/>
      <c r="K9" s="542"/>
      <c r="L9" s="516"/>
      <c r="M9" s="542"/>
      <c r="N9" s="542"/>
      <c r="O9" s="542"/>
      <c r="P9" s="542"/>
      <c r="Q9" s="542"/>
      <c r="R9" s="542"/>
      <c r="S9" s="542"/>
      <c r="T9" s="542"/>
      <c r="U9" s="542"/>
      <c r="V9" s="542"/>
      <c r="W9" s="542"/>
      <c r="X9" s="542"/>
      <c r="Y9" s="209"/>
      <c r="Z9" s="209"/>
      <c r="AA9" s="550"/>
      <c r="AB9" s="63"/>
      <c r="AC9" s="63"/>
      <c r="AG9" s="157"/>
      <c r="AH9" s="157"/>
    </row>
    <row r="10" spans="2:38">
      <c r="B10" s="526"/>
      <c r="C10" s="542"/>
      <c r="D10" s="542"/>
      <c r="E10" s="542"/>
      <c r="F10" s="542"/>
      <c r="G10" s="542"/>
      <c r="H10" s="542"/>
      <c r="I10" s="542"/>
      <c r="J10" s="542"/>
      <c r="K10" s="542"/>
      <c r="L10" s="517"/>
      <c r="M10" s="542"/>
      <c r="N10" s="542"/>
      <c r="O10" s="542"/>
      <c r="P10" s="542"/>
      <c r="Q10" s="542"/>
      <c r="R10" s="542"/>
      <c r="S10" s="542"/>
      <c r="T10" s="542"/>
      <c r="U10" s="542"/>
      <c r="V10" s="542"/>
      <c r="W10" s="542"/>
      <c r="X10" s="542"/>
      <c r="Y10" s="209"/>
      <c r="Z10" s="209"/>
      <c r="AA10" s="550"/>
      <c r="AB10" s="63"/>
      <c r="AC10" s="63"/>
      <c r="AG10" s="157"/>
      <c r="AH10" s="157"/>
    </row>
    <row r="11" spans="2:38">
      <c r="B11" s="526"/>
      <c r="C11" s="542"/>
      <c r="D11" s="542"/>
      <c r="E11" s="542"/>
      <c r="F11" s="542"/>
      <c r="G11" s="542"/>
      <c r="H11" s="542"/>
      <c r="I11" s="542"/>
      <c r="J11" s="542"/>
      <c r="K11" s="542"/>
      <c r="L11" s="517"/>
      <c r="M11" s="542"/>
      <c r="N11" s="542"/>
      <c r="O11" s="542"/>
      <c r="P11" s="542"/>
      <c r="Q11" s="542"/>
      <c r="R11" s="542"/>
      <c r="S11" s="542"/>
      <c r="T11" s="542"/>
      <c r="U11" s="542"/>
      <c r="V11" s="542"/>
      <c r="W11" s="542"/>
      <c r="X11" s="542"/>
      <c r="Y11" s="209"/>
      <c r="Z11" s="209"/>
      <c r="AA11" s="550"/>
      <c r="AB11" s="63"/>
      <c r="AC11" s="63"/>
      <c r="AG11" s="157"/>
      <c r="AH11" s="157"/>
    </row>
    <row r="12" spans="2:38" ht="30.75" customHeight="1">
      <c r="B12" s="526"/>
      <c r="C12" s="542"/>
      <c r="D12" s="542"/>
      <c r="E12" s="542"/>
      <c r="F12" s="542"/>
      <c r="G12" s="542"/>
      <c r="H12" s="542"/>
      <c r="I12" s="542"/>
      <c r="J12" s="542"/>
      <c r="K12" s="542"/>
      <c r="L12" s="517"/>
      <c r="M12" s="542"/>
      <c r="N12" s="542"/>
      <c r="O12" s="542"/>
      <c r="P12" s="542"/>
      <c r="Q12" s="542"/>
      <c r="R12" s="542"/>
      <c r="S12" s="542"/>
      <c r="T12" s="542"/>
      <c r="U12" s="542"/>
      <c r="V12" s="542"/>
      <c r="W12" s="542"/>
      <c r="X12" s="542"/>
      <c r="Y12" s="209"/>
      <c r="Z12" s="209"/>
      <c r="AA12" s="550"/>
      <c r="AB12" s="63"/>
      <c r="AC12" s="63"/>
      <c r="AG12" s="157"/>
      <c r="AH12" s="157"/>
    </row>
    <row r="13" spans="2:38" ht="48" customHeight="1">
      <c r="B13" s="527"/>
      <c r="C13" s="542"/>
      <c r="D13" s="542"/>
      <c r="E13" s="542"/>
      <c r="F13" s="542"/>
      <c r="G13" s="542"/>
      <c r="H13" s="542"/>
      <c r="I13" s="542"/>
      <c r="J13" s="542"/>
      <c r="K13" s="542"/>
      <c r="L13" s="517"/>
      <c r="M13" s="542"/>
      <c r="N13" s="542"/>
      <c r="O13" s="542"/>
      <c r="P13" s="542"/>
      <c r="Q13" s="542"/>
      <c r="R13" s="542"/>
      <c r="S13" s="542"/>
      <c r="T13" s="542"/>
      <c r="U13" s="542"/>
      <c r="V13" s="542"/>
      <c r="W13" s="542"/>
      <c r="X13" s="542"/>
      <c r="Y13" s="209"/>
      <c r="Z13" s="209"/>
      <c r="AA13" s="550"/>
      <c r="AB13" s="63"/>
      <c r="AC13" s="63"/>
      <c r="AG13" s="157"/>
      <c r="AH13" s="157"/>
    </row>
    <row r="14" spans="2:38" ht="30.75" customHeight="1">
      <c r="B14" s="527"/>
      <c r="C14" s="542"/>
      <c r="D14" s="542"/>
      <c r="E14" s="542"/>
      <c r="F14" s="542"/>
      <c r="G14" s="542"/>
      <c r="H14" s="542"/>
      <c r="I14" s="542"/>
      <c r="J14" s="542"/>
      <c r="K14" s="542"/>
      <c r="L14" s="517"/>
      <c r="M14" s="542"/>
      <c r="N14" s="542"/>
      <c r="O14" s="542"/>
      <c r="P14" s="542"/>
      <c r="Q14" s="542"/>
      <c r="R14" s="542"/>
      <c r="S14" s="542"/>
      <c r="T14" s="542"/>
      <c r="U14" s="542"/>
      <c r="V14" s="542"/>
      <c r="W14" s="542"/>
      <c r="X14" s="542"/>
      <c r="Y14" s="209"/>
      <c r="Z14" s="209"/>
      <c r="AA14" s="550"/>
      <c r="AB14" s="63"/>
      <c r="AC14" s="63"/>
      <c r="AG14" s="157"/>
      <c r="AH14" s="157"/>
    </row>
    <row r="15" spans="2:38" ht="15.5">
      <c r="B15" s="527"/>
      <c r="C15" s="542"/>
      <c r="D15" s="542"/>
      <c r="E15" s="542"/>
      <c r="F15" s="542"/>
      <c r="G15" s="542"/>
      <c r="H15" s="542"/>
      <c r="I15" s="542"/>
      <c r="J15" s="542"/>
      <c r="K15" s="542"/>
      <c r="L15" s="518"/>
      <c r="M15" s="204"/>
      <c r="Q15" s="161"/>
      <c r="R15" s="161"/>
      <c r="S15" s="161"/>
      <c r="T15" s="161"/>
      <c r="U15" s="161"/>
      <c r="V15" s="457"/>
      <c r="W15" s="209"/>
      <c r="X15" s="209"/>
      <c r="Y15" s="209"/>
      <c r="Z15" s="209"/>
      <c r="AA15" s="550"/>
      <c r="AB15" s="63"/>
      <c r="AC15" s="63"/>
      <c r="AG15" s="157"/>
      <c r="AH15" s="157"/>
    </row>
    <row r="16" spans="2:38" ht="15.5">
      <c r="B16" s="150"/>
      <c r="L16" s="204"/>
      <c r="M16" s="204"/>
      <c r="Q16" s="161"/>
      <c r="R16" s="161"/>
      <c r="S16" s="161"/>
      <c r="T16" s="161"/>
      <c r="U16" s="161"/>
      <c r="V16" s="457"/>
      <c r="W16" s="209"/>
      <c r="X16" s="209"/>
      <c r="Y16" s="209"/>
      <c r="Z16" s="209"/>
      <c r="AA16" s="550"/>
      <c r="AB16" s="63"/>
      <c r="AC16" s="63"/>
      <c r="AG16" s="157"/>
      <c r="AH16" s="157"/>
    </row>
    <row r="17" spans="2:50" ht="68.25" customHeight="1">
      <c r="B17" s="559" t="s">
        <v>646</v>
      </c>
      <c r="C17" s="308"/>
      <c r="D17" s="308"/>
      <c r="X17" s="502"/>
      <c r="Y17" s="502"/>
      <c r="Z17" s="502"/>
      <c r="AA17" s="503"/>
      <c r="AB17" s="502"/>
      <c r="AC17" s="502"/>
      <c r="AD17" s="502"/>
      <c r="AE17" s="464"/>
      <c r="AF17" s="162"/>
      <c r="AG17" s="157"/>
      <c r="AH17" s="157"/>
      <c r="AI17" s="103" t="s">
        <v>543</v>
      </c>
      <c r="AJ17" s="103" t="s">
        <v>555</v>
      </c>
      <c r="AK17" s="103" t="s">
        <v>554</v>
      </c>
      <c r="AL17" s="103" t="s">
        <v>970</v>
      </c>
      <c r="AN17" s="103" t="s">
        <v>970</v>
      </c>
      <c r="AU17" s="103" t="s">
        <v>1444</v>
      </c>
      <c r="AV17" s="103" t="s">
        <v>1445</v>
      </c>
      <c r="AW17" s="103" t="s">
        <v>1444</v>
      </c>
    </row>
    <row r="18" spans="2:50">
      <c r="B18" s="169"/>
      <c r="C18" s="161"/>
      <c r="D18" s="225">
        <v>1</v>
      </c>
      <c r="E18" s="1239" t="s">
        <v>487</v>
      </c>
      <c r="F18" s="1240"/>
      <c r="G18" s="1240"/>
      <c r="H18" s="1240"/>
      <c r="I18" s="1023"/>
      <c r="J18" s="1023"/>
      <c r="K18" s="1023"/>
      <c r="L18" s="1023"/>
      <c r="M18" s="1022" t="s">
        <v>810</v>
      </c>
      <c r="N18" s="1024"/>
      <c r="O18" s="1023" t="s">
        <v>897</v>
      </c>
      <c r="P18" s="1023"/>
      <c r="Q18" s="1023"/>
      <c r="R18" s="1023"/>
      <c r="S18" s="1023"/>
      <c r="T18" s="1023"/>
      <c r="U18" s="1023"/>
      <c r="V18" s="1024"/>
      <c r="X18" s="502"/>
      <c r="Y18" s="502"/>
      <c r="Z18" s="502"/>
      <c r="AA18" s="503"/>
      <c r="AB18" s="502"/>
      <c r="AC18" s="502"/>
      <c r="AD18" s="502"/>
      <c r="AE18" s="464"/>
      <c r="AF18" s="162"/>
      <c r="AG18" s="157"/>
      <c r="AH18" s="157"/>
      <c r="AI18" s="218">
        <v>50</v>
      </c>
      <c r="AJ18" s="219">
        <f>VLOOKUP($AI$6,'Reference Lists&amp;Tables'!$H$48:$J$187,2,)</f>
        <v>6</v>
      </c>
      <c r="AK18" s="219">
        <f>VLOOKUP($AI$6,'Reference Lists&amp;Tables'!$H$48:$J$187,3,)</f>
        <v>7.1</v>
      </c>
      <c r="AL18" s="219">
        <f>(AJ18+((100-AI18)/AK18))</f>
        <v>13.04225352112676</v>
      </c>
      <c r="AM18" s="103">
        <f>IF(ISNUMBER(AK18),AL18,VLOOKUP(AJ18*10,AU18:AV31,2,FALSE))</f>
        <v>13.04225352112676</v>
      </c>
      <c r="AN18" s="219">
        <f>IF(ISNUMBER(AK18),AL18,(AJ18+((100-AI18)/AM18)))</f>
        <v>13.04225352112676</v>
      </c>
      <c r="AO18" s="103" t="s">
        <v>1055</v>
      </c>
      <c r="AU18" s="103">
        <f>INT(AW18*10)</f>
        <v>10</v>
      </c>
      <c r="AV18" s="103">
        <v>13.46</v>
      </c>
      <c r="AW18" s="103">
        <v>1</v>
      </c>
    </row>
    <row r="19" spans="2:50" ht="30" customHeight="1">
      <c r="B19" s="169"/>
      <c r="C19" s="1047" t="s">
        <v>483</v>
      </c>
      <c r="D19" s="1245" t="s">
        <v>806</v>
      </c>
      <c r="E19" s="241" t="s">
        <v>659</v>
      </c>
      <c r="F19" s="241" t="s">
        <v>579</v>
      </c>
      <c r="G19" s="241" t="s">
        <v>59</v>
      </c>
      <c r="H19" s="241" t="s">
        <v>60</v>
      </c>
      <c r="I19" s="1237" t="s">
        <v>606</v>
      </c>
      <c r="J19" s="1037" t="s">
        <v>605</v>
      </c>
      <c r="K19" s="1037" t="s">
        <v>1054</v>
      </c>
      <c r="L19" s="1236" t="s">
        <v>757</v>
      </c>
      <c r="M19" s="998" t="s">
        <v>530</v>
      </c>
      <c r="N19" s="998" t="s">
        <v>811</v>
      </c>
      <c r="O19" s="240" t="s">
        <v>9</v>
      </c>
      <c r="P19" s="241" t="s">
        <v>61</v>
      </c>
      <c r="Q19" s="241" t="s">
        <v>62</v>
      </c>
      <c r="R19" s="241" t="s">
        <v>63</v>
      </c>
      <c r="S19" s="241" t="s">
        <v>7</v>
      </c>
      <c r="T19" s="241" t="s">
        <v>64</v>
      </c>
      <c r="U19" s="241" t="s">
        <v>65</v>
      </c>
      <c r="V19" s="241" t="s">
        <v>66</v>
      </c>
      <c r="X19" s="504"/>
      <c r="Y19" s="504"/>
      <c r="Z19" s="103"/>
      <c r="AA19" s="551"/>
      <c r="AB19" s="504"/>
      <c r="AC19" s="504"/>
      <c r="AD19" s="504"/>
      <c r="AE19" s="465"/>
      <c r="AF19" s="162"/>
      <c r="AG19" s="157"/>
      <c r="AH19" s="157"/>
      <c r="AI19" s="218">
        <v>75</v>
      </c>
      <c r="AJ19" s="219">
        <f>VLOOKUP($AI$6,'Reference Lists&amp;Tables'!$H$48:$J$187,2,)</f>
        <v>6</v>
      </c>
      <c r="AK19" s="219">
        <f>VLOOKUP($AI$6,'Reference Lists&amp;Tables'!$H$48:$J$187,3,)</f>
        <v>7.1</v>
      </c>
      <c r="AL19" s="219">
        <f>(AJ19+((100-AI19)/AK19))</f>
        <v>9.52112676056338</v>
      </c>
      <c r="AM19" s="103">
        <f>IF(ISNUMBER(AK19),AL19,VLOOKUP(AJ19*10,AU18:AV31,2,FALSE))</f>
        <v>9.52112676056338</v>
      </c>
      <c r="AN19" s="219">
        <f>IF(ISNUMBER(AK19),AL19,(AJ19+((100-AI19)/AM19)))</f>
        <v>9.52112676056338</v>
      </c>
      <c r="AQ19" s="103" t="s">
        <v>967</v>
      </c>
      <c r="AU19" s="103">
        <f t="shared" ref="AU19:AU31" si="0">INT(AW19*10)</f>
        <v>12</v>
      </c>
      <c r="AV19" s="103">
        <v>14.26</v>
      </c>
      <c r="AW19" s="103">
        <v>1.2</v>
      </c>
    </row>
    <row r="20" spans="2:50">
      <c r="B20" s="124"/>
      <c r="C20" s="1048"/>
      <c r="D20" s="1245"/>
      <c r="E20" s="242" t="s">
        <v>67</v>
      </c>
      <c r="F20" s="276" t="str">
        <f>E20</f>
        <v>dS/m</v>
      </c>
      <c r="G20" s="275"/>
      <c r="H20" s="276" t="s">
        <v>143</v>
      </c>
      <c r="I20" s="1238"/>
      <c r="J20" s="1038"/>
      <c r="K20" s="1038"/>
      <c r="L20" s="1236"/>
      <c r="M20" s="999"/>
      <c r="N20" s="999"/>
      <c r="O20" s="606" t="s">
        <v>143</v>
      </c>
      <c r="P20" s="276" t="str">
        <f>O20</f>
        <v>mmolc/L</v>
      </c>
      <c r="Q20" s="276" t="str">
        <f>O20</f>
        <v>mmolc/L</v>
      </c>
      <c r="R20" s="276" t="str">
        <f>O20</f>
        <v>mmolc/L</v>
      </c>
      <c r="S20" s="276" t="str">
        <f>O20</f>
        <v>mmolc/L</v>
      </c>
      <c r="T20" s="276" t="str">
        <f>O20</f>
        <v>mmolc/L</v>
      </c>
      <c r="U20" s="242" t="str">
        <f>O20</f>
        <v>mmolc/L</v>
      </c>
      <c r="V20" s="242" t="str">
        <f>O20</f>
        <v>mmolc/L</v>
      </c>
      <c r="X20" s="504"/>
      <c r="Y20" s="504"/>
      <c r="Z20" s="508"/>
      <c r="AA20" s="552"/>
      <c r="AB20" s="504"/>
      <c r="AC20" s="504"/>
      <c r="AD20" s="504"/>
      <c r="AE20" s="465"/>
      <c r="AF20" s="162"/>
      <c r="AG20" s="103" t="s">
        <v>892</v>
      </c>
      <c r="AI20" s="218">
        <v>80</v>
      </c>
      <c r="AJ20" s="219">
        <f>VLOOKUP($AI$6,'Reference Lists&amp;Tables'!$H$48:$J$187,2,)</f>
        <v>6</v>
      </c>
      <c r="AK20" s="219">
        <f>VLOOKUP($AI$6,'Reference Lists&amp;Tables'!$H$48:$J$187,3,)</f>
        <v>7.1</v>
      </c>
      <c r="AL20" s="219">
        <f>(AJ20+((100-AI20)/AK20))</f>
        <v>8.816901408450704</v>
      </c>
      <c r="AM20" s="103">
        <f>IF(ISNUMBER(AK20),AL20,VLOOKUP(AJ20*10,AU18:AV31,2,FALSE))</f>
        <v>8.816901408450704</v>
      </c>
      <c r="AN20" s="219">
        <f>IF(ISNUMBER(AK20),AL20,(AJ20+((100-AI20)/AM20)))</f>
        <v>8.816901408450704</v>
      </c>
      <c r="AU20" s="103">
        <f t="shared" si="0"/>
        <v>15</v>
      </c>
      <c r="AV20" s="103">
        <v>12.33</v>
      </c>
      <c r="AW20" s="103">
        <v>1.5</v>
      </c>
    </row>
    <row r="21" spans="2:50">
      <c r="B21" s="611">
        <f>IF(ISBLANK('Quick Calculator'!B16),"",'Quick Calculator'!B16)</f>
        <v>1</v>
      </c>
      <c r="C21" s="610" t="str">
        <f>IF(ISBLANK('Quick Calculator'!C35),"",'Quick Calculator'!C35)</f>
        <v>Yelarbon bore</v>
      </c>
      <c r="D21" s="555">
        <v>3</v>
      </c>
      <c r="E21" s="410">
        <f>IF(ISBLANK('Quick Calculator'!D35),"",'Quick Calculator'!D35)</f>
        <v>1.107</v>
      </c>
      <c r="F21" s="175">
        <f>IF(ISBLANK('Quick Calculator'!E35),"",'Quick Calculator'!E35)</f>
        <v>0.41354700854700854</v>
      </c>
      <c r="G21" s="410">
        <f>IF(ISBLANK('Quick Calculator'!F35),"",'Quick Calculator'!F35)</f>
        <v>19</v>
      </c>
      <c r="H21" s="410">
        <f>IF(ISBLANK('Quick Calculator'!G35),"",'Quick Calculator'!G35)</f>
        <v>0</v>
      </c>
      <c r="I21" s="175" t="e">
        <f>IF(ISBLANK('Quick Calculator'!#REF!),"",'Quick Calculator'!#REF!)</f>
        <v>#REF!</v>
      </c>
      <c r="J21" s="175">
        <f>IF(ISBLANK('Quick Calculator'!H35),"",'Quick Calculator'!H35)</f>
        <v>24.403675819467587</v>
      </c>
      <c r="K21" s="175">
        <f>IF(ISBLANK('Quick Calculator'!J35),"",'Quick Calculator'!J35)</f>
        <v>21.113872125586717</v>
      </c>
      <c r="L21" s="175">
        <f>IF(ISBLANK('Quick Calculator'!K35),"",'Quick Calculator'!K35)</f>
        <v>25.780467646127843</v>
      </c>
      <c r="M21" s="410">
        <f>IF(ISBLANK('Quick Calculator'!I16),"",'Quick Calculator'!I16)</f>
        <v>904</v>
      </c>
      <c r="N21" s="410">
        <f>IF(ISBLANK('Quick Calculator'!J16),"",'Quick Calculator'!J16)</f>
        <v>500</v>
      </c>
      <c r="O21" s="604">
        <f>IF(ISBLANK('Quick Calculator'!I24),"",'Quick Calculator'!I24)</f>
        <v>14</v>
      </c>
      <c r="P21" s="604">
        <f>IF(ISBLANK('Quick Calculator'!J24),"",'Quick Calculator'!J24)</f>
        <v>0.85</v>
      </c>
      <c r="Q21" s="604">
        <f>IF(ISBLANK('Quick Calculator'!K24),"",'Quick Calculator'!K24)</f>
        <v>0.15</v>
      </c>
      <c r="R21" s="604">
        <f>IF(ISBLANK('Quick Calculator'!L24),"",'Quick Calculator'!L24)</f>
        <v>0.06</v>
      </c>
      <c r="S21" s="604">
        <f>IF(ISBLANK('Quick Calculator'!M24),"",'Quick Calculator'!M24)</f>
        <v>1.97</v>
      </c>
      <c r="T21" s="604">
        <f>IF(ISBLANK('Quick Calculator'!N24),"",'Quick Calculator'!N24)</f>
        <v>0.85</v>
      </c>
      <c r="U21" s="604">
        <f>IF(ISBLANK('Quick Calculator'!O24),"",'Quick Calculator'!O24)</f>
        <v>7.6</v>
      </c>
      <c r="V21" s="604">
        <f>IF(ISBLANK('Quick Calculator'!P24),"",'Quick Calculator'!P24)</f>
        <v>0.01</v>
      </c>
      <c r="X21" s="504"/>
      <c r="Y21" s="504"/>
      <c r="Z21" s="508"/>
      <c r="AA21" s="552"/>
      <c r="AB21" s="504"/>
      <c r="AC21" s="504"/>
      <c r="AD21" s="504"/>
      <c r="AE21" s="465"/>
      <c r="AF21" s="162"/>
      <c r="AI21" s="218">
        <v>90</v>
      </c>
      <c r="AJ21" s="219">
        <f>VLOOKUP($AI$6,'Reference Lists&amp;Tables'!$H$48:$J$187,2,)</f>
        <v>6</v>
      </c>
      <c r="AK21" s="219">
        <f>VLOOKUP($AI$6,'Reference Lists&amp;Tables'!$H$48:$J$187,3,)</f>
        <v>7.1</v>
      </c>
      <c r="AL21" s="219">
        <f>(AJ21+((100-AI21)/AK21))</f>
        <v>7.408450704225352</v>
      </c>
      <c r="AM21" s="103">
        <f>IF(ISNUMBER(AK21),AL21,VLOOKUP(AJ21*10,AU18:AV31,2,FALSE))</f>
        <v>7.408450704225352</v>
      </c>
      <c r="AN21" s="219">
        <f>IF(ISNUMBER(AK21),AL21,(AJ21+((100-AI21)/AM21)))</f>
        <v>7.408450704225352</v>
      </c>
      <c r="AO21" s="103" t="e">
        <f t="shared" ref="AO21:AO26" si="1">SUM(E21:V21)</f>
        <v>#REF!</v>
      </c>
      <c r="AP21" s="103" t="e">
        <f>IF(AND(AO21&gt;0,D21&gt;0),1,0)</f>
        <v>#REF!</v>
      </c>
      <c r="AQ21" s="103">
        <f>SUM(M21:N21)</f>
        <v>1404</v>
      </c>
      <c r="AR21" s="103" t="b">
        <f>IF(AQ21&gt;2100,)</f>
        <v>0</v>
      </c>
      <c r="AS21" s="103">
        <f>IF(AR21=0,1,)</f>
        <v>0</v>
      </c>
      <c r="AU21" s="103">
        <f t="shared" si="0"/>
        <v>16</v>
      </c>
      <c r="AV21" s="103">
        <v>12.106999999999999</v>
      </c>
      <c r="AW21" s="103">
        <v>1.6</v>
      </c>
    </row>
    <row r="22" spans="2:50" ht="15" customHeight="1">
      <c r="B22" s="411">
        <f>IF(ISBLANK('Quick Calculator'!B17),"",'Quick Calculator'!B17)</f>
        <v>2</v>
      </c>
      <c r="C22" s="410" t="str">
        <f>IF(ISBLANK('Quick Calculator'!C36),"",'Quick Calculator'!C36)</f>
        <v>Burd 12001253  11/93</v>
      </c>
      <c r="D22" s="555">
        <v>2</v>
      </c>
      <c r="E22" s="410">
        <f>IF(ISBLANK('Quick Calculator'!D36),"",'Quick Calculator'!D36)</f>
        <v>1.35</v>
      </c>
      <c r="F22" s="175">
        <f>IF(ISBLANK('Quick Calculator'!E36),"",'Quick Calculator'!E36)</f>
        <v>0.69</v>
      </c>
      <c r="G22" s="410">
        <f>IF(ISBLANK('Quick Calculator'!F36),"",'Quick Calculator'!F36)</f>
        <v>6.5</v>
      </c>
      <c r="H22" s="410">
        <f>IF(ISBLANK('Quick Calculator'!G36),"",'Quick Calculator'!G36)</f>
        <v>2.31</v>
      </c>
      <c r="I22" s="175" t="e">
        <f>IF(ISBLANK('Quick Calculator'!#REF!),"",'Quick Calculator'!#REF!)</f>
        <v>#REF!</v>
      </c>
      <c r="J22" s="175">
        <f>IF(ISBLANK('Quick Calculator'!H36),"",'Quick Calculator'!H36)</f>
        <v>7.3363213584430929</v>
      </c>
      <c r="K22" s="175">
        <f>IF(ISBLANK('Quick Calculator'!J36),"",'Quick Calculator'!J36)</f>
        <v>7.6873370104544083</v>
      </c>
      <c r="L22" s="175">
        <f>IF(ISBLANK('Quick Calculator'!K36),"",'Quick Calculator'!K36)</f>
        <v>8.7267070815501153</v>
      </c>
      <c r="M22" s="410">
        <f>IF(ISBLANK('Quick Calculator'!I17),"",'Quick Calculator'!I17)</f>
        <v>950</v>
      </c>
      <c r="N22" s="410">
        <f>IF(ISBLANK('Quick Calculator'!J17),"",'Quick Calculator'!J17)</f>
        <v>950</v>
      </c>
      <c r="O22" s="604">
        <f>IF(ISBLANK('Quick Calculator'!I25),"",'Quick Calculator'!I25)</f>
        <v>9.35</v>
      </c>
      <c r="P22" s="604">
        <f>IF(ISBLANK('Quick Calculator'!J25),"",'Quick Calculator'!J25)</f>
        <v>1.83</v>
      </c>
      <c r="Q22" s="604">
        <f>IF(ISBLANK('Quick Calculator'!K25),"",'Quick Calculator'!K25)</f>
        <v>2.2999999999999998</v>
      </c>
      <c r="R22" s="604">
        <f>IF(ISBLANK('Quick Calculator'!L25),"",'Quick Calculator'!L25)</f>
        <v>0.1</v>
      </c>
      <c r="S22" s="604">
        <f>IF(ISBLANK('Quick Calculator'!M25),"",'Quick Calculator'!M25)</f>
        <v>6.47</v>
      </c>
      <c r="T22" s="604">
        <f>IF(ISBLANK('Quick Calculator'!N25),"",'Quick Calculator'!N25)</f>
        <v>0.55000000000000004</v>
      </c>
      <c r="U22" s="604">
        <f>IF(ISBLANK('Quick Calculator'!O25),"",'Quick Calculator'!O25)</f>
        <v>6.31</v>
      </c>
      <c r="V22" s="604">
        <f>IF(ISBLANK('Quick Calculator'!P25),"",'Quick Calculator'!P25)</f>
        <v>0.1</v>
      </c>
      <c r="X22" s="504"/>
      <c r="Y22" s="504"/>
      <c r="Z22" s="103"/>
      <c r="AA22" s="146"/>
      <c r="AB22" s="504"/>
      <c r="AC22" s="504"/>
      <c r="AD22" s="504"/>
      <c r="AE22" s="465"/>
      <c r="AF22" s="162"/>
      <c r="AG22" s="103">
        <f t="shared" ref="AG22:AG27" si="2">IF(ISNUMBER(D21),1,"")</f>
        <v>1</v>
      </c>
      <c r="AI22" s="218">
        <v>100</v>
      </c>
      <c r="AJ22" s="219">
        <f>VLOOKUP($AI$6,'Reference Lists&amp;Tables'!$H$48:$J$187,2,)</f>
        <v>6</v>
      </c>
      <c r="AK22" s="219">
        <f>VLOOKUP($AI$6,'Reference Lists&amp;Tables'!$H$48:$J$187,3,)</f>
        <v>7.1</v>
      </c>
      <c r="AL22" s="219">
        <f>(AJ22+((100-AI22)/AK22))</f>
        <v>6</v>
      </c>
      <c r="AM22" s="103">
        <f>IF(ISNUMBER(AK22),AL22,VLOOKUP(AJ22*10,AU18:AV31,2,FALSE))</f>
        <v>6</v>
      </c>
      <c r="AN22" s="219">
        <f>IF(ISNUMBER(AK22),AL22,(AJ22+((100-AI22)/AM22)))</f>
        <v>6</v>
      </c>
      <c r="AO22" s="103" t="e">
        <f t="shared" si="1"/>
        <v>#REF!</v>
      </c>
      <c r="AP22" s="103" t="e">
        <f>IF(AND(AO22&gt;0,D22&gt;0),1,0)</f>
        <v>#REF!</v>
      </c>
      <c r="AQ22" s="103">
        <f>SUM(M22:N22)</f>
        <v>1900</v>
      </c>
      <c r="AR22" s="103" t="b">
        <f>IF(AQ22&gt;2100,)</f>
        <v>0</v>
      </c>
      <c r="AS22" s="103">
        <f>IF(AR22=0,2,)</f>
        <v>0</v>
      </c>
      <c r="AU22" s="103">
        <f t="shared" si="0"/>
        <v>18</v>
      </c>
      <c r="AV22" s="103">
        <v>10.57</v>
      </c>
      <c r="AW22" s="103">
        <v>1.8</v>
      </c>
    </row>
    <row r="23" spans="2:50">
      <c r="B23" s="411">
        <f>IF(ISBLANK('Quick Calculator'!B18),"",'Quick Calculator'!B18)</f>
        <v>3</v>
      </c>
      <c r="C23" s="410">
        <f>IF(ISBLANK('Quick Calculator'!C37),"",'Quick Calculator'!C37)</f>
        <v>14310218</v>
      </c>
      <c r="D23" s="555">
        <v>1</v>
      </c>
      <c r="E23" s="410">
        <f>IF(ISBLANK('Quick Calculator'!D37),"",'Quick Calculator'!D37)</f>
        <v>5.6</v>
      </c>
      <c r="F23" s="175">
        <f>IF(ISBLANK('Quick Calculator'!E37),"",'Quick Calculator'!E37)</f>
        <v>2.0136182336182333</v>
      </c>
      <c r="G23" s="410">
        <f>IF(ISBLANK('Quick Calculator'!F37),"",'Quick Calculator'!F37)</f>
        <v>26</v>
      </c>
      <c r="H23" s="410">
        <f>IF(ISBLANK('Quick Calculator'!G37),"",'Quick Calculator'!G37)</f>
        <v>7.5</v>
      </c>
      <c r="I23" s="175" t="e">
        <f>IF(ISBLANK('Quick Calculator'!#REF!),"",'Quick Calculator'!#REF!)</f>
        <v>#REF!</v>
      </c>
      <c r="J23" s="175">
        <f>IF(ISBLANK('Quick Calculator'!H37),"",'Quick Calculator'!H37)</f>
        <v>31.576723317281619</v>
      </c>
      <c r="K23" s="175">
        <f>IF(ISBLANK('Quick Calculator'!J37),"",'Quick Calculator'!J37)</f>
        <v>27.055219199066304</v>
      </c>
      <c r="L23" s="175">
        <f>IF(ISBLANK('Quick Calculator'!K37),"",'Quick Calculator'!K37)</f>
        <v>31.184295445831442</v>
      </c>
      <c r="M23" s="410">
        <f>IF(ISBLANK('Quick Calculator'!I18),"",'Quick Calculator'!I18)</f>
        <v>904</v>
      </c>
      <c r="N23" s="410">
        <f>IF(ISBLANK('Quick Calculator'!J18),"",'Quick Calculator'!J18)</f>
        <v>500</v>
      </c>
      <c r="O23" s="604">
        <f>IF(ISBLANK('Quick Calculator'!I26),"",'Quick Calculator'!I26)</f>
        <v>47.39</v>
      </c>
      <c r="P23" s="604">
        <f>IF(ISBLANK('Quick Calculator'!J26),"",'Quick Calculator'!J26)</f>
        <v>3.3</v>
      </c>
      <c r="Q23" s="604">
        <f>IF(ISBLANK('Quick Calculator'!K26),"",'Quick Calculator'!K26)</f>
        <v>3.52</v>
      </c>
      <c r="R23" s="604">
        <f>IF(ISBLANK('Quick Calculator'!L26),"",'Quick Calculator'!L26)</f>
        <v>0.1</v>
      </c>
      <c r="S23" s="604">
        <f>IF(ISBLANK('Quick Calculator'!M26),"",'Quick Calculator'!M26)</f>
        <v>40.85</v>
      </c>
      <c r="T23" s="604">
        <f>IF(ISBLANK('Quick Calculator'!N26),"",'Quick Calculator'!N26)</f>
        <v>0.98</v>
      </c>
      <c r="U23" s="604">
        <f>IF(ISBLANK('Quick Calculator'!O26),"",'Quick Calculator'!O26)</f>
        <v>13.85</v>
      </c>
      <c r="V23" s="604">
        <f>IF(ISBLANK('Quick Calculator'!P26),"",'Quick Calculator'!P26)</f>
        <v>0</v>
      </c>
      <c r="X23" s="504"/>
      <c r="Y23" s="504"/>
      <c r="Z23" s="508"/>
      <c r="AA23" s="552"/>
      <c r="AB23" s="504"/>
      <c r="AC23" s="504"/>
      <c r="AD23" s="504"/>
      <c r="AE23" s="465"/>
      <c r="AF23" s="162"/>
      <c r="AG23" s="103">
        <f t="shared" si="2"/>
        <v>1</v>
      </c>
      <c r="AI23" s="162"/>
      <c r="AJ23" s="162"/>
      <c r="AK23" s="162"/>
      <c r="AL23" s="162"/>
      <c r="AO23" s="103" t="e">
        <f t="shared" si="1"/>
        <v>#REF!</v>
      </c>
      <c r="AP23" s="103" t="e">
        <f>IF(AND(AO23&gt;0,D23&gt;0),1,0)</f>
        <v>#REF!</v>
      </c>
      <c r="AQ23" s="103">
        <f>SUM(M23:N23)</f>
        <v>1404</v>
      </c>
      <c r="AR23" s="103" t="b">
        <f>IF(AQ23&gt;2100,)</f>
        <v>0</v>
      </c>
      <c r="AS23" s="103">
        <f>IF(AR23=0,3,)</f>
        <v>0</v>
      </c>
      <c r="AU23" s="103">
        <f t="shared" si="0"/>
        <v>20</v>
      </c>
      <c r="AV23" s="103">
        <v>9.5500000000000007</v>
      </c>
      <c r="AW23" s="103">
        <v>2</v>
      </c>
    </row>
    <row r="24" spans="2:50" ht="15" customHeight="1">
      <c r="B24" s="411">
        <f>IF(ISBLANK('Quick Calculator'!B19),"",'Quick Calculator'!B19)</f>
        <v>4</v>
      </c>
      <c r="C24" s="410" t="str">
        <f>IF(ISBLANK('Quick Calculator'!C38),"",'Quick Calculator'!C38)</f>
        <v>Tenthill 14320222</v>
      </c>
      <c r="D24" s="555"/>
      <c r="E24" s="410">
        <f>IF(ISBLANK('Quick Calculator'!D38),"",'Quick Calculator'!D38)</f>
        <v>3.1</v>
      </c>
      <c r="F24" s="175">
        <f>IF(ISBLANK('Quick Calculator'!E38),"",'Quick Calculator'!E38)</f>
        <v>1.1352</v>
      </c>
      <c r="G24" s="410">
        <f>IF(ISBLANK('Quick Calculator'!F38),"",'Quick Calculator'!F38)</f>
        <v>2</v>
      </c>
      <c r="H24" s="410">
        <f>IF(ISBLANK('Quick Calculator'!G38),"",'Quick Calculator'!G38)</f>
        <v>0</v>
      </c>
      <c r="I24" s="175" t="e">
        <f>IF(ISBLANK('Quick Calculator'!#REF!),"",'Quick Calculator'!#REF!)</f>
        <v>#REF!</v>
      </c>
      <c r="J24" s="175">
        <f>IF(ISBLANK('Quick Calculator'!H38),"",'Quick Calculator'!H38)</f>
        <v>2.2510196371999172</v>
      </c>
      <c r="K24" s="175">
        <f>IF(ISBLANK('Quick Calculator'!J38),"",'Quick Calculator'!J38)</f>
        <v>1.6619136591601928</v>
      </c>
      <c r="L24" s="175">
        <f>IF(ISBLANK('Quick Calculator'!K38),"",'Quick Calculator'!K38)</f>
        <v>2.018664352509878</v>
      </c>
      <c r="M24" s="410">
        <f>IF(ISBLANK('Quick Calculator'!I19),"",'Quick Calculator'!I19)</f>
        <v>800</v>
      </c>
      <c r="N24" s="410">
        <f>IF(ISBLANK('Quick Calculator'!J19),"",'Quick Calculator'!J19)</f>
        <v>450</v>
      </c>
      <c r="O24" s="604">
        <f>IF(ISBLANK('Quick Calculator'!I27),"",'Quick Calculator'!I27)</f>
        <v>7.17</v>
      </c>
      <c r="P24" s="604">
        <f>IF(ISBLANK('Quick Calculator'!J27),"",'Quick Calculator'!J27)</f>
        <v>6.5</v>
      </c>
      <c r="Q24" s="604">
        <f>IF(ISBLANK('Quick Calculator'!K27),"",'Quick Calculator'!K27)</f>
        <v>18.03</v>
      </c>
      <c r="R24" s="604">
        <f>IF(ISBLANK('Quick Calculator'!L27),"",'Quick Calculator'!L27)</f>
        <v>0.1</v>
      </c>
      <c r="S24" s="604">
        <f>IF(ISBLANK('Quick Calculator'!M27),"",'Quick Calculator'!M27)</f>
        <v>23.66</v>
      </c>
      <c r="T24" s="604">
        <f>IF(ISBLANK('Quick Calculator'!N27),"",'Quick Calculator'!N27)</f>
        <v>0.05</v>
      </c>
      <c r="U24" s="604">
        <f>IF(ISBLANK('Quick Calculator'!O27),"",'Quick Calculator'!O27)</f>
        <v>7.05</v>
      </c>
      <c r="V24" s="604">
        <f>IF(ISBLANK('Quick Calculator'!P27),"",'Quick Calculator'!P27)</f>
        <v>0</v>
      </c>
      <c r="X24" s="504"/>
      <c r="Y24" s="504"/>
      <c r="Z24" s="103"/>
      <c r="AA24" s="146"/>
      <c r="AB24" s="504"/>
      <c r="AC24" s="504"/>
      <c r="AD24" s="504"/>
      <c r="AE24" s="465"/>
      <c r="AF24" s="162"/>
      <c r="AG24" s="103">
        <f t="shared" si="2"/>
        <v>1</v>
      </c>
      <c r="AI24" s="162"/>
      <c r="AJ24" s="162"/>
      <c r="AK24" s="162"/>
      <c r="AL24" s="162"/>
      <c r="AO24" s="103" t="e">
        <f t="shared" si="1"/>
        <v>#REF!</v>
      </c>
      <c r="AP24" s="103" t="e">
        <f>IF(AND(AO24&gt;0,D24&gt;0),1,0)</f>
        <v>#REF!</v>
      </c>
      <c r="AQ24" s="103">
        <f>SUM(M24:N24)</f>
        <v>1250</v>
      </c>
      <c r="AR24" s="103" t="b">
        <f>IF(AQ24&gt;2100,)</f>
        <v>0</v>
      </c>
      <c r="AS24" s="103">
        <f>IF(AR24=0,4,)</f>
        <v>0</v>
      </c>
      <c r="AU24" s="103">
        <f t="shared" si="0"/>
        <v>25</v>
      </c>
      <c r="AV24" s="103">
        <v>15.2</v>
      </c>
      <c r="AW24" s="103">
        <v>2.5</v>
      </c>
    </row>
    <row r="25" spans="2:50">
      <c r="B25" s="411">
        <f>IF(ISBLANK('Quick Calculator'!B20),"",'Quick Calculator'!B20)</f>
        <v>5</v>
      </c>
      <c r="C25" s="410" t="str">
        <f>IF(ISBLANK('Quick Calculator'!C39),"",'Quick Calculator'!C39)</f>
        <v xml:space="preserve">Rainfall - No irrigation </v>
      </c>
      <c r="D25" s="555"/>
      <c r="E25" s="410">
        <f>IF(ISBLANK('Quick Calculator'!D39),"",'Quick Calculator'!D39)</f>
        <v>0.03</v>
      </c>
      <c r="F25" s="175">
        <f>IF(ISBLANK('Quick Calculator'!E39),"",'Quick Calculator'!E39)</f>
        <v>3.0000000000000002E-2</v>
      </c>
      <c r="G25" s="410">
        <f>IF(ISBLANK('Quick Calculator'!F39),"",'Quick Calculator'!F39)</f>
        <v>0.52</v>
      </c>
      <c r="H25" s="410">
        <f>IF(ISBLANK('Quick Calculator'!G39),"",'Quick Calculator'!G39)</f>
        <v>0</v>
      </c>
      <c r="I25" s="175" t="e">
        <f>IF(ISBLANK('Quick Calculator'!#REF!),"",'Quick Calculator'!#REF!)</f>
        <v>#REF!</v>
      </c>
      <c r="J25" s="175">
        <f>IF(ISBLANK('Quick Calculator'!H39),"",'Quick Calculator'!H39)</f>
        <v>6.0558410632291178E-2</v>
      </c>
      <c r="K25" s="175" t="str">
        <f>IF(ISBLANK('Quick Calculator'!J39),"",'Quick Calculator'!J39)</f>
        <v>&lt;0.1</v>
      </c>
      <c r="L25" s="175" t="str">
        <f>IF(ISBLANK('Quick Calculator'!K39),"",'Quick Calculator'!K39)</f>
        <v>&lt;0.1</v>
      </c>
      <c r="M25" s="410">
        <f>IF(ISBLANK('Quick Calculator'!I20),"",'Quick Calculator'!I20)</f>
        <v>1320</v>
      </c>
      <c r="N25" s="410">
        <f>IF(ISBLANK('Quick Calculator'!J20),"",'Quick Calculator'!J20)</f>
        <v>0</v>
      </c>
      <c r="O25" s="604">
        <f>IF(ISBLANK('Quick Calculator'!I28),"",'Quick Calculator'!I28)</f>
        <v>0.09</v>
      </c>
      <c r="P25" s="604">
        <f>IF(ISBLANK('Quick Calculator'!J28),"",'Quick Calculator'!J28)</f>
        <v>0.04</v>
      </c>
      <c r="Q25" s="604">
        <f>IF(ISBLANK('Quick Calculator'!K28),"",'Quick Calculator'!K28)</f>
        <v>0.02</v>
      </c>
      <c r="R25" s="604">
        <f>IF(ISBLANK('Quick Calculator'!L28),"",'Quick Calculator'!L28)</f>
        <v>0</v>
      </c>
      <c r="S25" s="604">
        <f>IF(ISBLANK('Quick Calculator'!M28),"",'Quick Calculator'!M28)</f>
        <v>0.1</v>
      </c>
      <c r="T25" s="604">
        <f>IF(ISBLANK('Quick Calculator'!N28),"",'Quick Calculator'!N28)</f>
        <v>0.06</v>
      </c>
      <c r="U25" s="604">
        <f>IF(ISBLANK('Quick Calculator'!O28),"",'Quick Calculator'!O28)</f>
        <v>0.01</v>
      </c>
      <c r="V25" s="604">
        <f>IF(ISBLANK('Quick Calculator'!P28),"",'Quick Calculator'!P28)</f>
        <v>0</v>
      </c>
      <c r="X25" s="504"/>
      <c r="Y25" s="504"/>
      <c r="Z25" s="508"/>
      <c r="AA25" s="552"/>
      <c r="AB25" s="504"/>
      <c r="AC25" s="504"/>
      <c r="AD25" s="504"/>
      <c r="AE25" s="465"/>
      <c r="AF25" s="162"/>
      <c r="AG25" s="103" t="str">
        <f t="shared" si="2"/>
        <v/>
      </c>
      <c r="AI25" s="162"/>
      <c r="AJ25" s="1235" t="s">
        <v>775</v>
      </c>
      <c r="AK25" s="1235" t="s">
        <v>776</v>
      </c>
      <c r="AL25" s="1235" t="s">
        <v>777</v>
      </c>
      <c r="AO25" s="103" t="e">
        <f t="shared" si="1"/>
        <v>#REF!</v>
      </c>
      <c r="AP25" s="103" t="e">
        <f>IF(AND(AO25&gt;0,D25&gt;0),1,0)</f>
        <v>#REF!</v>
      </c>
      <c r="AQ25" s="103">
        <f>SUM(M25:N25)</f>
        <v>1320</v>
      </c>
      <c r="AR25" s="103" t="b">
        <f>IF(AQ25&gt;2100,)</f>
        <v>0</v>
      </c>
      <c r="AS25" s="103">
        <f>IF(AR25=0,5,)</f>
        <v>0</v>
      </c>
      <c r="AU25" s="103">
        <f t="shared" si="0"/>
        <v>40</v>
      </c>
      <c r="AV25" s="103">
        <v>6.7</v>
      </c>
      <c r="AW25" s="103">
        <v>4</v>
      </c>
    </row>
    <row r="26" spans="2:50">
      <c r="B26" s="411">
        <v>6</v>
      </c>
      <c r="C26" s="410" t="s">
        <v>530</v>
      </c>
      <c r="D26" s="556"/>
      <c r="E26" s="266">
        <v>0.03</v>
      </c>
      <c r="F26" s="179"/>
      <c r="G26" s="164">
        <v>0.49</v>
      </c>
      <c r="H26" s="164"/>
      <c r="I26" s="164"/>
      <c r="J26" s="164"/>
      <c r="K26" s="164"/>
      <c r="L26" s="164"/>
      <c r="M26" s="164"/>
      <c r="N26" s="164"/>
      <c r="O26" s="164">
        <v>0.09</v>
      </c>
      <c r="P26" s="164">
        <v>0.04</v>
      </c>
      <c r="Q26" s="164">
        <v>2.8000000000000001E-2</v>
      </c>
      <c r="R26" s="164"/>
      <c r="S26" s="164"/>
      <c r="T26" s="164"/>
      <c r="U26" s="164">
        <v>0.06</v>
      </c>
      <c r="V26" s="164">
        <v>0</v>
      </c>
      <c r="X26" s="504"/>
      <c r="Y26" s="504"/>
      <c r="Z26" s="508"/>
      <c r="AA26" s="552"/>
      <c r="AB26" s="504"/>
      <c r="AC26" s="504"/>
      <c r="AD26" s="504"/>
      <c r="AE26" s="465"/>
      <c r="AF26" s="162"/>
      <c r="AG26" s="103" t="str">
        <f t="shared" si="2"/>
        <v/>
      </c>
      <c r="AI26" s="162"/>
      <c r="AJ26" s="1235"/>
      <c r="AK26" s="1235"/>
      <c r="AL26" s="1235"/>
      <c r="AO26" s="103">
        <f t="shared" si="1"/>
        <v>0.73799999999999999</v>
      </c>
      <c r="AR26" s="103">
        <f>COUNTIF(AR21:AR25,)</f>
        <v>0</v>
      </c>
      <c r="AS26" s="103">
        <f>SUM(AS21:AS25)</f>
        <v>0</v>
      </c>
      <c r="AU26" s="103">
        <f t="shared" si="0"/>
        <v>42</v>
      </c>
      <c r="AV26" s="103">
        <v>9.16</v>
      </c>
      <c r="AW26" s="103">
        <v>4.2</v>
      </c>
    </row>
    <row r="27" spans="2:50" ht="15" customHeight="1">
      <c r="B27" s="229"/>
      <c r="C27" s="161"/>
      <c r="D27" s="1254" t="e">
        <f>IF(AND(SUM(AP21:AP25)=0,SUM(G32:G34,I32:I34)&gt;0),"No sites are selected, either select one or more sites or reduce upper and lower water limits to zero","")</f>
        <v>#REF!</v>
      </c>
      <c r="E27" s="1254"/>
      <c r="F27" s="1254"/>
      <c r="G27" s="1254"/>
      <c r="H27" s="1254"/>
      <c r="I27" s="1254"/>
      <c r="J27" s="1254"/>
      <c r="L27" s="1250" t="str">
        <f>IF(AR26=1,"Warning: Total water input in Source " &amp; AS26 &amp; " exceeds values used in deriving the predictive model and thus is an extrapolation to be used with caution",IF(AR26&gt;1,"Warning: Total water input in more than one source exceeds values used in deriving the predictive model and thus is an extrapolation to be used with caution",""))</f>
        <v/>
      </c>
      <c r="M27" s="1250"/>
      <c r="N27" s="1250"/>
      <c r="O27" s="1250"/>
      <c r="P27" s="1250"/>
      <c r="Q27" s="1250"/>
      <c r="R27" s="1250"/>
      <c r="S27" s="1250"/>
      <c r="T27" s="1250"/>
      <c r="U27" s="1250"/>
      <c r="V27" s="1250"/>
      <c r="W27" s="1250"/>
      <c r="X27" s="1250"/>
      <c r="Y27" s="505"/>
      <c r="Z27" s="103"/>
      <c r="AA27" s="146"/>
      <c r="AB27" s="505"/>
      <c r="AC27" s="505"/>
      <c r="AD27" s="505"/>
      <c r="AE27" s="464"/>
      <c r="AG27" s="103" t="str">
        <f t="shared" si="2"/>
        <v/>
      </c>
      <c r="AH27" s="103" t="s">
        <v>893</v>
      </c>
      <c r="AJ27" s="1235"/>
      <c r="AK27" s="1235"/>
      <c r="AL27" s="1235"/>
      <c r="AM27" s="103" t="s">
        <v>971</v>
      </c>
      <c r="AO27" s="162"/>
      <c r="AP27" s="217"/>
      <c r="AQ27" s="217"/>
      <c r="AR27" s="217"/>
      <c r="AS27" s="157"/>
      <c r="AT27" s="159"/>
      <c r="AU27" s="103">
        <f t="shared" si="0"/>
        <v>45</v>
      </c>
      <c r="AV27" s="103">
        <v>9.16</v>
      </c>
      <c r="AW27" s="103">
        <v>4.5</v>
      </c>
      <c r="AX27" s="157"/>
    </row>
    <row r="28" spans="2:50" ht="32.25" customHeight="1">
      <c r="B28" s="190" t="s">
        <v>812</v>
      </c>
      <c r="C28" s="161"/>
      <c r="D28" s="1224" t="str">
        <f>IF(COUNTIF(D21:D25,1)&gt;1,"Too many number 1s in the selection", IF(COUNTIF(D21:D25,2)&gt;1,"Too many number 2s in the selection",IF(COUNTIF(D21:D25,3)&gt;1,"Too many number 3s in the selection","")))</f>
        <v/>
      </c>
      <c r="E28" s="1224"/>
      <c r="F28" s="1224"/>
      <c r="G28" s="1250" t="str">
        <f>IF(INT(H36)=INT(F36),"","Solver has not found a solution matching the right water quantity, try running again")</f>
        <v/>
      </c>
      <c r="H28" s="1250"/>
      <c r="I28" s="1250"/>
      <c r="J28" s="103"/>
      <c r="K28" s="103"/>
      <c r="L28" s="103"/>
      <c r="M28" s="103"/>
      <c r="N28" s="103"/>
      <c r="O28" s="103"/>
      <c r="P28" s="103"/>
      <c r="Q28" s="103"/>
      <c r="R28" s="103"/>
      <c r="S28" s="535"/>
      <c r="T28" s="271"/>
      <c r="U28" s="271"/>
      <c r="V28" s="271"/>
      <c r="W28" s="271"/>
      <c r="X28" s="271"/>
      <c r="Y28" s="271"/>
      <c r="Z28" s="271"/>
      <c r="AA28" s="146"/>
      <c r="AB28" s="506"/>
      <c r="AC28" s="506"/>
      <c r="AD28" s="506"/>
      <c r="AE28" s="466"/>
      <c r="AG28" s="103">
        <f>IF(SUM(AG22:AG26)=2,1,2)</f>
        <v>2</v>
      </c>
      <c r="AH28" s="103">
        <f>IF(AG27=1,1,2)</f>
        <v>2</v>
      </c>
      <c r="AJ28" s="1235"/>
      <c r="AK28" s="1235"/>
      <c r="AL28" s="1235"/>
      <c r="AO28" s="162"/>
      <c r="AP28" s="217"/>
      <c r="AQ28" s="217"/>
      <c r="AR28" s="217"/>
      <c r="AS28" s="157"/>
      <c r="AT28" s="159"/>
      <c r="AU28" s="103">
        <f t="shared" si="0"/>
        <v>60</v>
      </c>
      <c r="AV28" s="157">
        <v>7</v>
      </c>
      <c r="AW28" s="103">
        <v>6</v>
      </c>
      <c r="AX28" s="157"/>
    </row>
    <row r="29" spans="2:50">
      <c r="B29" s="528"/>
      <c r="C29" s="1243" t="str">
        <f>IF(OR(AND(SUM(AI38:AM38)=0,SUM(J32,I32)&gt;0),AND(SUM(AI39:AM39)=0,SUM(I33:J33)&gt;0),AND(SUM(AI40:AM40)=0,SUM(I34:J34)&gt;0)),"Upper and lower limits need to be zero unless a water source is selected","")</f>
        <v/>
      </c>
      <c r="D29" s="1243"/>
      <c r="E29" s="225">
        <v>2</v>
      </c>
      <c r="F29" s="225">
        <v>3</v>
      </c>
      <c r="G29" s="225">
        <v>4</v>
      </c>
      <c r="H29" s="225">
        <v>5</v>
      </c>
      <c r="I29" s="225">
        <v>6</v>
      </c>
      <c r="J29" s="225">
        <v>7</v>
      </c>
      <c r="K29" s="226">
        <v>8</v>
      </c>
      <c r="L29" s="226">
        <v>9</v>
      </c>
      <c r="M29" s="1221">
        <v>10</v>
      </c>
      <c r="N29" s="1221"/>
      <c r="O29" s="1222">
        <v>11</v>
      </c>
      <c r="P29" s="1222"/>
      <c r="Q29" s="231">
        <v>12</v>
      </c>
      <c r="R29" s="103"/>
      <c r="S29" s="509"/>
      <c r="T29" s="543"/>
      <c r="U29" s="543"/>
      <c r="V29" s="543"/>
      <c r="W29" s="543"/>
      <c r="X29" s="543"/>
      <c r="Y29" s="543"/>
      <c r="Z29" s="543"/>
      <c r="AA29" s="146"/>
      <c r="AB29" s="507"/>
      <c r="AC29" s="507"/>
      <c r="AD29" s="507"/>
      <c r="AE29" s="466"/>
      <c r="AJ29" s="354">
        <f>VLOOKUP(K32,AI18:AL22,2,FALSE)</f>
        <v>6</v>
      </c>
      <c r="AK29" s="354">
        <f>VLOOKUP(K32,AI18:AM22,5,FALSE)</f>
        <v>7.408450704225352</v>
      </c>
      <c r="AL29" s="355">
        <f>VLOOKUP(K32,AI18:AN22,6,FALSE)</f>
        <v>7.408450704225352</v>
      </c>
      <c r="AM29" s="456">
        <f>IF(M32="Minimise Dd = LF 0.1",100-AK29*(B42-AJ29),IF(M32="Average Dd = LF 0.15",100-AK29*(C42-AJ29),IF(M32="High Dd = LF 0.2",100-AK29*(D42-AJ29),"")))</f>
        <v>104.79618924816505</v>
      </c>
      <c r="AN29" s="355"/>
      <c r="AO29" s="355"/>
      <c r="AT29" s="159"/>
      <c r="AU29" s="103">
        <f t="shared" si="0"/>
        <v>65</v>
      </c>
      <c r="AV29" s="157">
        <v>8.7799999999999994</v>
      </c>
      <c r="AW29" s="103">
        <v>6.5</v>
      </c>
      <c r="AX29" s="157"/>
    </row>
    <row r="30" spans="2:50" ht="46" customHeight="1">
      <c r="B30" s="529"/>
      <c r="C30" s="1244"/>
      <c r="D30" s="1244"/>
      <c r="E30" s="1228" t="s">
        <v>773</v>
      </c>
      <c r="F30" s="1228" t="s">
        <v>774</v>
      </c>
      <c r="G30" s="1223" t="s">
        <v>786</v>
      </c>
      <c r="H30" s="1223" t="s">
        <v>770</v>
      </c>
      <c r="I30" s="1228" t="s">
        <v>771</v>
      </c>
      <c r="J30" s="1262" t="s">
        <v>772</v>
      </c>
      <c r="K30" s="425" t="s">
        <v>543</v>
      </c>
      <c r="L30" s="425" t="s">
        <v>59</v>
      </c>
      <c r="M30" s="1223" t="s">
        <v>890</v>
      </c>
      <c r="N30" s="1223"/>
      <c r="O30" s="1223" t="s">
        <v>790</v>
      </c>
      <c r="P30" s="1223"/>
      <c r="Q30" s="425" t="s">
        <v>782</v>
      </c>
      <c r="R30" s="103"/>
      <c r="S30" s="509"/>
      <c r="T30" s="543"/>
      <c r="U30" s="543"/>
      <c r="V30" s="543"/>
      <c r="W30" s="543"/>
      <c r="X30" s="543"/>
      <c r="Y30" s="543"/>
      <c r="Z30" s="543"/>
      <c r="AA30" s="146"/>
      <c r="AB30" s="494"/>
      <c r="AC30" s="494"/>
      <c r="AD30" s="494"/>
      <c r="AH30" s="103" t="s">
        <v>529</v>
      </c>
      <c r="AI30" s="103" t="s">
        <v>471</v>
      </c>
      <c r="AJ30" s="103" t="s">
        <v>9</v>
      </c>
      <c r="AK30" s="103" t="s">
        <v>61</v>
      </c>
      <c r="AL30" s="103" t="s">
        <v>62</v>
      </c>
      <c r="AM30" s="103" t="s">
        <v>65</v>
      </c>
      <c r="AT30" s="159"/>
      <c r="AU30" s="103">
        <f t="shared" si="0"/>
        <v>70</v>
      </c>
      <c r="AV30" s="103">
        <v>5.16</v>
      </c>
      <c r="AW30" s="103">
        <v>7</v>
      </c>
      <c r="AX30" s="157"/>
    </row>
    <row r="31" spans="2:50" ht="15" customHeight="1">
      <c r="B31" s="529"/>
      <c r="C31" s="1263" t="s">
        <v>1091</v>
      </c>
      <c r="D31" s="1263"/>
      <c r="E31" s="1228"/>
      <c r="F31" s="1228"/>
      <c r="G31" s="1223"/>
      <c r="H31" s="1223"/>
      <c r="I31" s="1228"/>
      <c r="J31" s="1262"/>
      <c r="K31" s="425" t="s">
        <v>787</v>
      </c>
      <c r="L31" s="425" t="s">
        <v>789</v>
      </c>
      <c r="M31" s="1223" t="s">
        <v>895</v>
      </c>
      <c r="N31" s="1223"/>
      <c r="O31" s="1223" t="s">
        <v>789</v>
      </c>
      <c r="P31" s="1223"/>
      <c r="Q31" s="425" t="s">
        <v>894</v>
      </c>
      <c r="R31" s="103"/>
      <c r="S31" s="509"/>
      <c r="T31" s="543"/>
      <c r="U31" s="543"/>
      <c r="V31" s="543"/>
      <c r="W31" s="543"/>
      <c r="X31" s="543"/>
      <c r="Y31" s="543"/>
      <c r="Z31" s="543"/>
      <c r="AA31" s="146"/>
      <c r="AF31" s="103">
        <f t="shared" ref="AF31:AF36" si="3">B30</f>
        <v>0</v>
      </c>
      <c r="AG31" s="103">
        <f t="shared" ref="AG31:AG36" si="4">IF(ISNUMBER(D21),D21,"")</f>
        <v>3</v>
      </c>
      <c r="AH31" s="103" t="str">
        <f t="shared" ref="AH31:AH36" si="5">C21</f>
        <v>Yelarbon bore</v>
      </c>
      <c r="AI31" s="103">
        <f t="shared" ref="AI31:AI36" si="6">E21</f>
        <v>1.107</v>
      </c>
      <c r="AJ31" s="103">
        <f t="shared" ref="AJ31:AL36" si="7">O21</f>
        <v>14</v>
      </c>
      <c r="AK31" s="103">
        <f t="shared" si="7"/>
        <v>0.85</v>
      </c>
      <c r="AL31" s="103">
        <f t="shared" si="7"/>
        <v>0.15</v>
      </c>
      <c r="AM31" s="103">
        <f t="shared" ref="AM31:AM36" si="8">U21</f>
        <v>7.6</v>
      </c>
      <c r="AT31" s="157"/>
      <c r="AU31" s="103">
        <f t="shared" si="0"/>
        <v>85</v>
      </c>
      <c r="AV31" s="103">
        <v>11.8</v>
      </c>
      <c r="AW31" s="103">
        <v>8.5</v>
      </c>
    </row>
    <row r="32" spans="2:50" ht="15.75" customHeight="1">
      <c r="B32" s="461">
        <v>1</v>
      </c>
      <c r="C32" s="1103">
        <f>AH38</f>
        <v>14310218</v>
      </c>
      <c r="D32" s="1103"/>
      <c r="E32" s="1217">
        <v>650</v>
      </c>
      <c r="F32" s="1217">
        <v>1300</v>
      </c>
      <c r="G32" s="348">
        <v>400</v>
      </c>
      <c r="H32" s="613">
        <v>6</v>
      </c>
      <c r="I32" s="348">
        <v>750</v>
      </c>
      <c r="J32" s="348">
        <v>0</v>
      </c>
      <c r="K32" s="1232">
        <v>90</v>
      </c>
      <c r="L32" s="1246">
        <v>7</v>
      </c>
      <c r="M32" s="1248" t="s">
        <v>888</v>
      </c>
      <c r="N32" s="1248"/>
      <c r="O32" s="1248">
        <v>6</v>
      </c>
      <c r="P32" s="1248"/>
      <c r="Q32" s="1225" t="s">
        <v>605</v>
      </c>
      <c r="R32" s="103"/>
      <c r="S32" s="271"/>
      <c r="T32" s="543"/>
      <c r="U32" s="543"/>
      <c r="V32" s="543"/>
      <c r="W32" s="543"/>
      <c r="X32" s="543"/>
      <c r="Y32" s="543"/>
      <c r="Z32" s="543"/>
      <c r="AA32" s="146"/>
      <c r="AB32" s="151"/>
      <c r="AC32" s="151"/>
      <c r="AD32" s="151"/>
      <c r="AE32" s="467"/>
      <c r="AF32" s="103">
        <f t="shared" si="3"/>
        <v>0</v>
      </c>
      <c r="AG32" s="103">
        <f t="shared" si="4"/>
        <v>2</v>
      </c>
      <c r="AH32" s="103" t="str">
        <f t="shared" si="5"/>
        <v>Burd 12001253  11/93</v>
      </c>
      <c r="AI32" s="103">
        <f t="shared" si="6"/>
        <v>1.35</v>
      </c>
      <c r="AJ32" s="103">
        <f t="shared" si="7"/>
        <v>9.35</v>
      </c>
      <c r="AK32" s="103">
        <f t="shared" si="7"/>
        <v>1.83</v>
      </c>
      <c r="AL32" s="103">
        <f t="shared" si="7"/>
        <v>2.2999999999999998</v>
      </c>
      <c r="AM32" s="103">
        <f t="shared" si="8"/>
        <v>6.31</v>
      </c>
      <c r="AT32" s="157"/>
    </row>
    <row r="33" spans="2:50" ht="15.75" customHeight="1">
      <c r="B33" s="461">
        <v>2</v>
      </c>
      <c r="C33" s="1103" t="str">
        <f>AH39</f>
        <v>Burd 12001253  11/93</v>
      </c>
      <c r="D33" s="1103"/>
      <c r="E33" s="1218"/>
      <c r="F33" s="1218"/>
      <c r="G33" s="348">
        <v>250</v>
      </c>
      <c r="H33" s="613">
        <v>0</v>
      </c>
      <c r="I33" s="348">
        <v>750</v>
      </c>
      <c r="J33" s="348">
        <v>0</v>
      </c>
      <c r="K33" s="1232"/>
      <c r="L33" s="1246"/>
      <c r="M33" s="1248"/>
      <c r="N33" s="1248"/>
      <c r="O33" s="1248"/>
      <c r="P33" s="1248"/>
      <c r="Q33" s="1226"/>
      <c r="R33" s="103"/>
      <c r="S33" s="509"/>
      <c r="T33" s="543"/>
      <c r="U33" s="543"/>
      <c r="V33" s="543"/>
      <c r="W33" s="543"/>
      <c r="X33" s="543"/>
      <c r="Y33" s="543"/>
      <c r="Z33" s="543"/>
      <c r="AA33" s="146"/>
      <c r="AB33" s="151"/>
      <c r="AC33" s="151"/>
      <c r="AD33" s="151"/>
      <c r="AE33" s="467"/>
      <c r="AF33" s="103">
        <f t="shared" si="3"/>
        <v>1</v>
      </c>
      <c r="AG33" s="103">
        <f t="shared" si="4"/>
        <v>1</v>
      </c>
      <c r="AH33" s="103">
        <f t="shared" si="5"/>
        <v>14310218</v>
      </c>
      <c r="AI33" s="103">
        <f t="shared" si="6"/>
        <v>5.6</v>
      </c>
      <c r="AJ33" s="103">
        <f t="shared" si="7"/>
        <v>47.39</v>
      </c>
      <c r="AK33" s="103">
        <f t="shared" si="7"/>
        <v>3.3</v>
      </c>
      <c r="AL33" s="103">
        <f t="shared" si="7"/>
        <v>3.52</v>
      </c>
      <c r="AM33" s="103">
        <f t="shared" si="8"/>
        <v>13.85</v>
      </c>
      <c r="AT33" s="157"/>
    </row>
    <row r="34" spans="2:50" ht="15" customHeight="1">
      <c r="B34" s="461">
        <v>3</v>
      </c>
      <c r="C34" s="1103" t="str">
        <f>AH40</f>
        <v>Yelarbon bore</v>
      </c>
      <c r="D34" s="1103"/>
      <c r="E34" s="1219"/>
      <c r="F34" s="1220"/>
      <c r="G34" s="348">
        <v>0</v>
      </c>
      <c r="H34" s="613">
        <v>644.35623825349353</v>
      </c>
      <c r="I34" s="349">
        <v>750</v>
      </c>
      <c r="J34" s="348">
        <v>0</v>
      </c>
      <c r="K34" s="1233"/>
      <c r="L34" s="1247"/>
      <c r="M34" s="1248"/>
      <c r="N34" s="1248"/>
      <c r="O34" s="1248"/>
      <c r="P34" s="1248"/>
      <c r="Q34" s="1227"/>
      <c r="R34" s="103"/>
      <c r="S34" s="271"/>
      <c r="T34" s="543"/>
      <c r="U34" s="543"/>
      <c r="V34" s="543"/>
      <c r="W34" s="543"/>
      <c r="X34" s="543"/>
      <c r="Y34" s="543"/>
      <c r="Z34" s="543"/>
      <c r="AA34" s="146"/>
      <c r="AB34" s="151"/>
      <c r="AC34" s="151"/>
      <c r="AD34" s="151"/>
      <c r="AE34" s="467"/>
      <c r="AF34" s="103">
        <f t="shared" si="3"/>
        <v>2</v>
      </c>
      <c r="AG34" s="103" t="str">
        <f t="shared" si="4"/>
        <v/>
      </c>
      <c r="AH34" s="103" t="str">
        <f t="shared" si="5"/>
        <v>Tenthill 14320222</v>
      </c>
      <c r="AI34" s="103">
        <f t="shared" si="6"/>
        <v>3.1</v>
      </c>
      <c r="AJ34" s="103">
        <f t="shared" si="7"/>
        <v>7.17</v>
      </c>
      <c r="AK34" s="103">
        <f t="shared" si="7"/>
        <v>6.5</v>
      </c>
      <c r="AL34" s="103">
        <f t="shared" si="7"/>
        <v>18.03</v>
      </c>
      <c r="AM34" s="103">
        <f t="shared" si="8"/>
        <v>7.05</v>
      </c>
      <c r="AT34" s="157"/>
    </row>
    <row r="35" spans="2:50" ht="15" customHeight="1">
      <c r="B35" s="461">
        <v>4</v>
      </c>
      <c r="C35" s="1103" t="s">
        <v>530</v>
      </c>
      <c r="D35" s="1103"/>
      <c r="E35" s="350">
        <v>0</v>
      </c>
      <c r="F35" s="612"/>
      <c r="G35" s="351">
        <v>0</v>
      </c>
      <c r="H35" s="614">
        <v>0</v>
      </c>
      <c r="I35" s="351">
        <v>0</v>
      </c>
      <c r="J35" s="351">
        <v>0</v>
      </c>
      <c r="K35" s="1215" t="s">
        <v>788</v>
      </c>
      <c r="L35" s="1216"/>
      <c r="M35" s="1229" t="s">
        <v>307</v>
      </c>
      <c r="N35" s="1230"/>
      <c r="O35" s="1230"/>
      <c r="P35" s="1230"/>
      <c r="Q35" s="1231"/>
      <c r="R35" s="103"/>
      <c r="S35" s="509"/>
      <c r="T35" s="543"/>
      <c r="U35" s="543"/>
      <c r="V35" s="543"/>
      <c r="W35" s="543"/>
      <c r="X35" s="543"/>
      <c r="Y35" s="543"/>
      <c r="Z35" s="543"/>
      <c r="AA35" s="146"/>
      <c r="AB35" s="151"/>
      <c r="AC35" s="151"/>
      <c r="AD35" s="151"/>
      <c r="AE35" s="467"/>
      <c r="AF35" s="103">
        <f t="shared" si="3"/>
        <v>3</v>
      </c>
      <c r="AG35" s="103" t="str">
        <f t="shared" si="4"/>
        <v/>
      </c>
      <c r="AH35" s="103" t="str">
        <f t="shared" si="5"/>
        <v xml:space="preserve">Rainfall - No irrigation </v>
      </c>
      <c r="AI35" s="103">
        <f t="shared" si="6"/>
        <v>0.03</v>
      </c>
      <c r="AJ35" s="103">
        <f t="shared" si="7"/>
        <v>0.09</v>
      </c>
      <c r="AK35" s="103">
        <f t="shared" si="7"/>
        <v>0.04</v>
      </c>
      <c r="AL35" s="103">
        <f t="shared" si="7"/>
        <v>0.02</v>
      </c>
      <c r="AM35" s="103">
        <f t="shared" si="8"/>
        <v>0.01</v>
      </c>
      <c r="AT35" s="157"/>
    </row>
    <row r="36" spans="2:50" ht="16.5" customHeight="1">
      <c r="B36" s="1255" t="str">
        <f>IF(AND(AG28=1,SUM(I34:J34)&gt;0),"Revert upper and lower limits to zero for empty source 3","")</f>
        <v/>
      </c>
      <c r="C36" s="1256"/>
      <c r="D36" s="1256"/>
      <c r="E36" s="1257"/>
      <c r="F36" s="616">
        <f>F32-E32+E35</f>
        <v>650</v>
      </c>
      <c r="G36" s="353">
        <f>SUM(G32:G35)</f>
        <v>650</v>
      </c>
      <c r="H36" s="353">
        <f>SUM(H32:H35)</f>
        <v>650.35623825349353</v>
      </c>
      <c r="I36" s="545" t="str">
        <f>IF(SUM(I32:I35)&lt;F36,"Sum of upper limits is lower than value in the green box","")</f>
        <v/>
      </c>
      <c r="J36" s="352"/>
      <c r="R36" s="103"/>
      <c r="S36" s="271"/>
      <c r="T36" s="543"/>
      <c r="U36" s="543"/>
      <c r="V36" s="543"/>
      <c r="W36" s="543"/>
      <c r="X36" s="543"/>
      <c r="Y36" s="543"/>
      <c r="Z36" s="543"/>
      <c r="AA36" s="146"/>
      <c r="AB36" s="151"/>
      <c r="AC36" s="151"/>
      <c r="AD36" s="151"/>
      <c r="AE36" s="467"/>
      <c r="AF36" s="103">
        <f t="shared" si="3"/>
        <v>4</v>
      </c>
      <c r="AG36" s="103" t="str">
        <f t="shared" si="4"/>
        <v/>
      </c>
      <c r="AH36" s="103" t="str">
        <f t="shared" si="5"/>
        <v>Rainfall</v>
      </c>
      <c r="AI36" s="103">
        <f t="shared" si="6"/>
        <v>0.03</v>
      </c>
      <c r="AJ36" s="103">
        <f t="shared" si="7"/>
        <v>0.09</v>
      </c>
      <c r="AK36" s="103">
        <f t="shared" si="7"/>
        <v>0.04</v>
      </c>
      <c r="AL36" s="103">
        <f t="shared" si="7"/>
        <v>2.8000000000000001E-2</v>
      </c>
      <c r="AM36" s="103">
        <f t="shared" si="8"/>
        <v>0.06</v>
      </c>
      <c r="AT36" s="159"/>
      <c r="AU36" s="157"/>
      <c r="AV36" s="157"/>
      <c r="AW36" s="157"/>
      <c r="AX36" s="157"/>
    </row>
    <row r="37" spans="2:50" ht="15.75" customHeight="1">
      <c r="B37" s="229"/>
      <c r="C37" s="1258" t="str">
        <f>IF(AND(AH28=2,SUM(I35:J35)),"Revert rainfall upper and lower limits to zero","")</f>
        <v/>
      </c>
      <c r="D37" s="1258"/>
      <c r="E37" s="1258"/>
      <c r="F37" s="1259" t="str">
        <f>IF(F36=G36,"","Total water quantity in Col 4 does not equal the sum in Col 3")</f>
        <v/>
      </c>
      <c r="G37" s="1259"/>
      <c r="H37" s="1259"/>
      <c r="I37" s="545" t="str">
        <f>IF(AND((COUNTIF(D21:D25,1)=1),I32&lt;1,AN38=1),"Source 1 Upper limit needs to be higher","")</f>
        <v/>
      </c>
      <c r="K37" s="519"/>
      <c r="L37" s="1258" t="str">
        <f>IF(H36&gt;2100,"Total water input across water sources exceeds values used in deriving the predictive model and thus is an extrapolation to be used with caution","")</f>
        <v/>
      </c>
      <c r="M37" s="1258"/>
      <c r="N37" s="1258"/>
      <c r="O37" s="1258"/>
      <c r="P37" s="1258"/>
      <c r="Q37" s="1258"/>
      <c r="R37" s="103"/>
      <c r="S37" s="534"/>
      <c r="T37" s="543"/>
      <c r="U37" s="543"/>
      <c r="V37" s="543"/>
      <c r="W37" s="543"/>
      <c r="X37" s="543"/>
      <c r="Y37" s="543"/>
      <c r="Z37" s="543"/>
      <c r="AA37" s="146"/>
      <c r="AB37" s="151"/>
      <c r="AC37" s="151"/>
      <c r="AD37" s="151"/>
      <c r="AE37" s="467"/>
      <c r="AG37" s="103" t="s">
        <v>807</v>
      </c>
      <c r="AH37" s="103" t="str">
        <f>IF(AG$31=AG37,AH$31,IF(AG$32=AG37,AH$32,IF(AG$33=AG37,AH$33,IF(AG$34=AG37,AH$34,IF(AG$35=AG37,AH$35,IF(AG$50=AG32,AH32,""))))))</f>
        <v/>
      </c>
      <c r="AI37" s="103" t="s">
        <v>471</v>
      </c>
      <c r="AJ37" s="158" t="s">
        <v>9</v>
      </c>
      <c r="AK37" s="158" t="s">
        <v>61</v>
      </c>
      <c r="AL37" s="158" t="s">
        <v>62</v>
      </c>
      <c r="AM37" s="158" t="s">
        <v>65</v>
      </c>
      <c r="AR37" s="272" t="s">
        <v>794</v>
      </c>
      <c r="AS37" s="272" t="s">
        <v>795</v>
      </c>
      <c r="AT37" s="272" t="s">
        <v>796</v>
      </c>
      <c r="AU37" s="272" t="s">
        <v>797</v>
      </c>
      <c r="AV37" s="272" t="s">
        <v>798</v>
      </c>
      <c r="AW37" s="272" t="s">
        <v>482</v>
      </c>
    </row>
    <row r="38" spans="2:50" ht="26">
      <c r="B38" s="190" t="s">
        <v>122</v>
      </c>
      <c r="D38" s="560"/>
      <c r="E38" s="560"/>
      <c r="F38" s="1260"/>
      <c r="G38" s="1260"/>
      <c r="H38" s="1260"/>
      <c r="I38" s="545" t="str">
        <f>IF(AND((COUNTIF(D21:D25,2)=1),I33&lt;1,AN39=1),"Source 2 Upper limit needs to be higher","")</f>
        <v/>
      </c>
      <c r="J38" s="519"/>
      <c r="K38" s="519"/>
      <c r="L38" s="1258"/>
      <c r="M38" s="1258"/>
      <c r="N38" s="1258"/>
      <c r="O38" s="1258"/>
      <c r="P38" s="1258"/>
      <c r="Q38" s="1258"/>
      <c r="R38" s="103"/>
      <c r="S38" s="271"/>
      <c r="T38" s="543"/>
      <c r="U38" s="543"/>
      <c r="V38" s="543"/>
      <c r="W38" s="543"/>
      <c r="X38" s="543"/>
      <c r="Y38" s="543"/>
      <c r="Z38" s="543"/>
      <c r="AA38" s="146"/>
      <c r="AB38" s="151"/>
      <c r="AC38" s="151"/>
      <c r="AD38" s="151"/>
      <c r="AE38" s="467"/>
      <c r="AG38" s="103">
        <v>1</v>
      </c>
      <c r="AH38" s="103">
        <f>IF(AG$31=AG38,AH$31,IF(AG$32=AG38,AH$32,IF(AG$33=AG38,AH$33,IF(AG$34=AG38,AH$34,IF(AG$35=AG38,AH$35,IF(AG$50=AG33,AH33,""))))))</f>
        <v>14310218</v>
      </c>
      <c r="AI38" s="103">
        <f>IF(ISNUMBER(AI47),AI47,0)</f>
        <v>5.6</v>
      </c>
      <c r="AJ38" s="103">
        <f>IF(ISNUMBER(AJ47),AJ47,0)</f>
        <v>47.39</v>
      </c>
      <c r="AK38" s="103">
        <f t="shared" ref="AI38:AM40" si="9">IF(ISNUMBER(AK47),AK47,0)</f>
        <v>3.3</v>
      </c>
      <c r="AL38" s="103">
        <f t="shared" si="9"/>
        <v>3.52</v>
      </c>
      <c r="AM38" s="103">
        <f t="shared" si="9"/>
        <v>13.85</v>
      </c>
      <c r="AN38" s="103">
        <f>IF(SUM(AI38:AM38)=0,0,1)</f>
        <v>1</v>
      </c>
      <c r="AQ38" s="103" t="s">
        <v>808</v>
      </c>
      <c r="AR38" s="103">
        <f>((AJ38*H32+AJ39*H33+AJ40*H34)/(H32+H33+H34))+((AK38*H32+AK39*H33+AK40*H34)/(H32+H33+H34))+((AL38*H32+AL39*H33+AL40*H34)/(H32+H33+H34))</f>
        <v>15.361740206616272</v>
      </c>
      <c r="AS38" s="103">
        <f>(1.3477*(AR38)+0.5355)/1000</f>
        <v>2.1238517276456748E-2</v>
      </c>
      <c r="AT38" s="162">
        <f>((AK38*H32+AK39*H33+AK40*H34)/(H32+H33+H34))/(2*((AM38*H32+AM39*H33+AM40*H34)/(H32+H33+H34)))</f>
        <v>5.6975820052510395E-2</v>
      </c>
      <c r="AU38" s="103">
        <f>1/3*(4.6629+0.6103*LOG(AS38)+0.0844*(LOG(AS38)^2)+2*LOG(AT38))</f>
        <v>0.46317320041135829</v>
      </c>
      <c r="AV38" s="103">
        <f>10^AU38*0.17758</f>
        <v>0.51590204817613494</v>
      </c>
      <c r="AW38" s="103">
        <f>((AJ38*H32+AJ39*H33+AJ40*H34)/(H32+H33+H34))/SQRT((AV38+((AL38*H32+AL39*H33+AL40*H34)/(H32+H33+H34)))/2)</f>
        <v>24.237131960752439</v>
      </c>
    </row>
    <row r="39" spans="2:50" ht="15" customHeight="1">
      <c r="B39" s="360">
        <v>13</v>
      </c>
      <c r="C39" s="225">
        <v>14</v>
      </c>
      <c r="D39" s="225">
        <v>15</v>
      </c>
      <c r="E39" s="560"/>
      <c r="F39" s="189" t="str">
        <f>IF(AND((COUNTIF(D22:D26,4)=1),I35&lt;1),"Source 4 Upper limit needs to be higher","")</f>
        <v/>
      </c>
      <c r="I39" s="545" t="str">
        <f>IF(AND((COUNTIF(D21:D25,3)=1),I34&lt;1,AN40=1),"Source 3 Upper limit needs to be higher","")</f>
        <v/>
      </c>
      <c r="L39" s="519"/>
      <c r="N39" s="285"/>
      <c r="O39" s="285"/>
      <c r="P39" s="285"/>
      <c r="Q39" s="285"/>
      <c r="R39" s="103"/>
      <c r="S39" s="271"/>
      <c r="T39" s="543"/>
      <c r="U39" s="543"/>
      <c r="V39" s="543"/>
      <c r="W39" s="543"/>
      <c r="X39" s="543"/>
      <c r="Y39" s="543"/>
      <c r="Z39" s="543"/>
      <c r="AA39" s="146"/>
      <c r="AG39" s="103">
        <v>2</v>
      </c>
      <c r="AH39" s="103" t="str">
        <f>IF(AG$31=AG39,AH$31,IF(AG$32=AG39,AH$32,IF(AG$33=AG39,AH$33,IF(AG$34=AG39,AH$34,IF(AG$35=AG39,AH$35,IF(AG$50=AG34,AH34,""))))))</f>
        <v>Burd 12001253  11/93</v>
      </c>
      <c r="AI39" s="103">
        <f t="shared" si="9"/>
        <v>1.35</v>
      </c>
      <c r="AJ39" s="103">
        <f t="shared" si="9"/>
        <v>9.35</v>
      </c>
      <c r="AK39" s="103">
        <f t="shared" si="9"/>
        <v>1.83</v>
      </c>
      <c r="AL39" s="103">
        <f t="shared" si="9"/>
        <v>2.2999999999999998</v>
      </c>
      <c r="AM39" s="103">
        <f t="shared" si="9"/>
        <v>6.31</v>
      </c>
      <c r="AN39" s="103">
        <f>IF(SUM(AI39:AM39)=0,0,1)</f>
        <v>1</v>
      </c>
      <c r="AQ39" s="103" t="s">
        <v>816</v>
      </c>
      <c r="AR39" s="103">
        <f>((AJ38*H32+AJ39*H33+AJ40*H34+H35*AJ45)/(H32+H33+H34+H35))+((AK38*H32+AK39*H33+AK40*H34+AK45*H35)/(H32+H33+H34+H35))+((AL38*H32+AL39*H33+AL40*H34+AL45*H35)/(H32+H33+H34+H35))</f>
        <v>15.361740206616272</v>
      </c>
      <c r="AS39" s="103">
        <f>(1.3477*(AR39)+0.5355)/1000</f>
        <v>2.1238517276456748E-2</v>
      </c>
      <c r="AT39" s="162">
        <f>((AK38*H32+AK39*H33+AK40*H34+AK45*H35)/(H32+H33+H34+H35))/(2*((AM38*H32+AM39*H33+AM40*H34+AM45*H35)/(H32+H33+H34+H35)))</f>
        <v>5.6975820052510395E-2</v>
      </c>
      <c r="AU39" s="103">
        <f>1/3*(4.6629+0.6103*LOG(AS39)+0.0844*(LOG(AS39)^2)+2*LOG(AT39))</f>
        <v>0.46317320041135829</v>
      </c>
      <c r="AV39" s="103">
        <f>10^AU39*0.17758</f>
        <v>0.51590204817613494</v>
      </c>
      <c r="AW39" s="103">
        <f>((AJ38*H32+AJ39*H33+AJ40*H34+AJ45*H35)/(H32+H33+H34+H35))/SQRT((AV39+((AL38*H32+AL39*H33+AL40*H34+AL45*H35)/(H32+H33+H34+H35)))/2)</f>
        <v>24.237131960752439</v>
      </c>
    </row>
    <row r="40" spans="2:50">
      <c r="B40" s="1261" t="s">
        <v>809</v>
      </c>
      <c r="C40" s="1052"/>
      <c r="D40" s="1052"/>
      <c r="E40" s="227">
        <v>16</v>
      </c>
      <c r="F40" s="225">
        <v>17</v>
      </c>
      <c r="G40" s="225">
        <v>18</v>
      </c>
      <c r="H40" s="226">
        <v>19</v>
      </c>
      <c r="I40" s="226">
        <v>20</v>
      </c>
      <c r="J40" s="226">
        <v>21</v>
      </c>
      <c r="K40" s="226">
        <v>22</v>
      </c>
      <c r="L40" s="226">
        <v>23</v>
      </c>
      <c r="M40" s="226">
        <v>24</v>
      </c>
      <c r="N40" s="270"/>
      <c r="O40" s="161"/>
      <c r="P40" s="161"/>
      <c r="Q40" s="161"/>
      <c r="R40" s="103"/>
      <c r="S40" s="271"/>
      <c r="T40" s="543"/>
      <c r="U40" s="543"/>
      <c r="V40" s="543"/>
      <c r="W40" s="543"/>
      <c r="X40" s="543"/>
      <c r="Y40" s="543"/>
      <c r="Z40" s="543"/>
      <c r="AA40" s="146"/>
      <c r="AG40" s="103">
        <v>3</v>
      </c>
      <c r="AH40" s="103" t="str">
        <f>IF(AG$31=AG40,AH$31,IF(AG$32=AG40,AH$32,IF(AG$33=AG40,AH$33,IF(AG$34=AG40,AH$34,IF(AG$35=AG40,AH$35,IF(AG$50=AG35,AH35,""))))))</f>
        <v>Yelarbon bore</v>
      </c>
      <c r="AI40" s="103">
        <f t="shared" si="9"/>
        <v>1.107</v>
      </c>
      <c r="AJ40" s="103">
        <f t="shared" si="9"/>
        <v>14</v>
      </c>
      <c r="AK40" s="103">
        <f t="shared" si="9"/>
        <v>0.85</v>
      </c>
      <c r="AL40" s="103">
        <f t="shared" si="9"/>
        <v>0.15</v>
      </c>
      <c r="AM40" s="103">
        <f t="shared" si="9"/>
        <v>7.6</v>
      </c>
      <c r="AN40" s="103">
        <f>IF(SUM(AI40:AM40)=0,0,1)</f>
        <v>1</v>
      </c>
      <c r="AT40" s="162"/>
    </row>
    <row r="41" spans="2:50" ht="43.5">
      <c r="B41" s="362" t="s">
        <v>451</v>
      </c>
      <c r="C41" s="356" t="s">
        <v>126</v>
      </c>
      <c r="D41" s="356" t="s">
        <v>452</v>
      </c>
      <c r="E41" s="357" t="s">
        <v>791</v>
      </c>
      <c r="F41" s="356" t="s">
        <v>781</v>
      </c>
      <c r="G41" s="356" t="s">
        <v>782</v>
      </c>
      <c r="H41" s="460" t="s">
        <v>891</v>
      </c>
      <c r="I41" s="460" t="s">
        <v>799</v>
      </c>
      <c r="J41" s="460" t="s">
        <v>800</v>
      </c>
      <c r="K41" s="460" t="s">
        <v>779</v>
      </c>
      <c r="L41" s="460" t="s">
        <v>778</v>
      </c>
      <c r="M41" s="460" t="s">
        <v>780</v>
      </c>
      <c r="N41" s="270"/>
      <c r="O41" s="163"/>
      <c r="P41" s="270"/>
      <c r="Q41" s="270"/>
      <c r="R41" s="510"/>
      <c r="S41" s="271"/>
      <c r="T41" s="271"/>
      <c r="U41" s="270"/>
      <c r="V41" s="35"/>
      <c r="W41" s="35"/>
      <c r="X41" s="270"/>
      <c r="Y41" s="270"/>
      <c r="Z41" s="270"/>
      <c r="AA41" s="553"/>
      <c r="AT41" s="162"/>
    </row>
    <row r="42" spans="2:50" ht="51" customHeight="1">
      <c r="B42" s="363">
        <f>AL29*0.5834</f>
        <v>4.3220901408450709</v>
      </c>
      <c r="C42" s="358">
        <f>AL29*0.7225</f>
        <v>5.352605633802817</v>
      </c>
      <c r="D42" s="358">
        <f>AL29*0.8472</f>
        <v>6.276439436619718</v>
      </c>
      <c r="E42" s="485">
        <f>IF(AM29&gt;100,100,AM29)</f>
        <v>100</v>
      </c>
      <c r="F42" s="571">
        <f>(AI38*H32+AI39*H33+AI40*H34+H35*AI45)/(H32+H33+H34+H35)</f>
        <v>1.148451128495968</v>
      </c>
      <c r="G42" s="564">
        <f>((AJ38*H32+AJ39*H33+AJ40*H34+AJ45*H35)/(H32+H33+H34+H35))/((((AK38+AL38)*H32+(AK39+AL39)*H33+(AK40+AL40)*H34+(AK45+AL45)*H35)/(2*(H32+H33+H34+H35))))^0.5</f>
        <v>19.712339084615166</v>
      </c>
      <c r="H42" s="563">
        <f>((AJ38*H32+AJ39*H33+AJ40*H34+AJ45*H35)/(H32+H33+H34+H35))/SQRT((AV39+((AL38*H32+AL39*H33+AL40*H34+AL45*H35)/(H32+H33+H34+H35)))/2)</f>
        <v>24.237131960752439</v>
      </c>
      <c r="I42" s="563">
        <f>IF(AT46&lt;0,0,AT46)</f>
        <v>9.0231999561072023</v>
      </c>
      <c r="J42" s="563">
        <f>IF(AU46&lt;0,0,AU46)</f>
        <v>9.463967061704297</v>
      </c>
      <c r="K42" s="359">
        <f>0.1*F32</f>
        <v>130</v>
      </c>
      <c r="L42" s="359">
        <f>0.15*F32</f>
        <v>195</v>
      </c>
      <c r="M42" s="359">
        <f>0.2*F32</f>
        <v>260</v>
      </c>
      <c r="N42" s="103"/>
      <c r="O42" s="483"/>
      <c r="P42" s="483"/>
      <c r="Q42" s="483"/>
      <c r="R42" s="483"/>
      <c r="S42" s="483"/>
      <c r="T42" s="483"/>
      <c r="U42" s="483"/>
      <c r="V42" s="483"/>
      <c r="W42" s="483"/>
      <c r="X42" s="483"/>
      <c r="Y42" s="483"/>
      <c r="Z42" s="483"/>
      <c r="AA42" s="553"/>
      <c r="AT42" s="162"/>
    </row>
    <row r="43" spans="2:50">
      <c r="B43" s="1251" t="str">
        <f>IF(M32="Average Dd = LF 0.15","Using LF 0.15 in the mix",IF(M32="Minimise Dd = LF 0.1", "Using LF 0.1 in the mix", IF(M32="High Dd = LF 0.2","Using LF 0.2 in the mix","")))</f>
        <v>Using LF 0.15 in the mix</v>
      </c>
      <c r="C43" s="1252"/>
      <c r="D43" s="1252"/>
      <c r="F43" s="223" t="str">
        <f>IF(F42&gt;AH58+0.01,"EC too high","")</f>
        <v/>
      </c>
      <c r="G43" s="232" t="str">
        <f>IF(AND(G42&gt;L32+0.01,Q32="SAR"),"SAR too high","")</f>
        <v/>
      </c>
      <c r="H43" s="232" t="str">
        <f>IF(AND(H42&gt;L32+0.01,Q32="SAR adj Ca"),"SAR too high","")</f>
        <v>SAR too high</v>
      </c>
      <c r="I43" s="232" t="str">
        <f>IF(AND(I42&gt;O32+0.01,Q32="SAR"),"Gypsum too high","")</f>
        <v/>
      </c>
      <c r="J43" s="232" t="str">
        <f>IF(AND(J42&gt;O32+0.01,Q32="SAR adj Ca"),"Gypsum too high","")</f>
        <v>Gypsum too high</v>
      </c>
      <c r="N43" s="103"/>
      <c r="O43" s="520"/>
      <c r="P43" s="543"/>
      <c r="Q43" s="543"/>
      <c r="R43" s="543"/>
      <c r="S43" s="543"/>
      <c r="T43" s="543"/>
      <c r="U43" s="543"/>
      <c r="V43" s="543"/>
      <c r="W43" s="543"/>
      <c r="X43" s="543"/>
      <c r="Y43" s="543"/>
      <c r="Z43" s="543"/>
      <c r="AA43" s="553"/>
      <c r="AT43" s="162"/>
    </row>
    <row r="44" spans="2:50">
      <c r="B44" s="150"/>
      <c r="G44" s="1253" t="str">
        <f>IF(Q32="SAR","Using 'SAR' in the mix",IF(Q32="SAR adj Ca", "Using 'SAR adj Ca'  in the mix",""))</f>
        <v>Using 'SAR adj Ca'  in the mix</v>
      </c>
      <c r="H44" s="1253"/>
      <c r="I44" s="1253" t="str">
        <f>IF(Q32="SAR","Using 'SAR' in the mix",IF(Q32="SAR adj Ca", "Using 'SAR adj Ca'  in the mix",""))</f>
        <v>Using 'SAR adj Ca'  in the mix</v>
      </c>
      <c r="J44" s="1253"/>
      <c r="N44" s="103"/>
      <c r="O44" s="520"/>
      <c r="P44" s="543"/>
      <c r="Q44" s="543"/>
      <c r="R44" s="543"/>
      <c r="S44" s="543"/>
      <c r="T44" s="543"/>
      <c r="U44" s="543"/>
      <c r="V44" s="543"/>
      <c r="W44" s="543"/>
      <c r="X44" s="543"/>
      <c r="Y44" s="543"/>
      <c r="Z44" s="543"/>
      <c r="AA44" s="553"/>
      <c r="AT44" s="162"/>
    </row>
    <row r="45" spans="2:50">
      <c r="B45" s="561"/>
      <c r="C45" s="562"/>
      <c r="D45" s="562"/>
      <c r="E45" s="103"/>
      <c r="F45" s="103"/>
      <c r="K45" s="220"/>
      <c r="L45" s="103"/>
      <c r="M45" s="103"/>
      <c r="N45" s="222"/>
      <c r="O45" s="520"/>
      <c r="P45" s="543"/>
      <c r="Q45" s="543"/>
      <c r="R45" s="543"/>
      <c r="S45" s="543"/>
      <c r="T45" s="543"/>
      <c r="U45" s="543"/>
      <c r="V45" s="543"/>
      <c r="W45" s="543"/>
      <c r="X45" s="543"/>
      <c r="Y45" s="543"/>
      <c r="Z45" s="543"/>
      <c r="AA45" s="554"/>
      <c r="AG45" s="103">
        <v>4</v>
      </c>
      <c r="AH45" s="103" t="str">
        <f>IF(AG$31=AG45,AH$31,IF(AG$32=AG45,AH$32,IF(AG$33=AG45,AH$33,IF(AG$34=AG45,AH$34,IF(AG$35=AG45,AH$35,IF(AG$50=AG36,AH36,""))))))</f>
        <v/>
      </c>
      <c r="AI45" s="103">
        <f>IF(ISNUMBER(AI50),AI50,0)</f>
        <v>0</v>
      </c>
      <c r="AJ45" s="103">
        <f>IF(ISNUMBER(AJ50),AJ50,0)</f>
        <v>0</v>
      </c>
      <c r="AK45" s="103">
        <f>IF(ISNUMBER(AK50),AK50,0)</f>
        <v>0</v>
      </c>
      <c r="AL45" s="103">
        <f>IF(ISNUMBER(AL50),AL50,0)</f>
        <v>0</v>
      </c>
      <c r="AM45" s="103">
        <f>IF(ISNUMBER(AM50),AM50,0)</f>
        <v>0</v>
      </c>
      <c r="AR45" s="103" t="s">
        <v>801</v>
      </c>
      <c r="AT45" s="162" t="s">
        <v>886</v>
      </c>
    </row>
    <row r="46" spans="2:50">
      <c r="B46" s="561"/>
      <c r="C46" s="562"/>
      <c r="D46" s="562"/>
      <c r="E46" s="103"/>
      <c r="F46" s="103"/>
      <c r="G46" s="562"/>
      <c r="H46" s="562"/>
      <c r="I46" s="562"/>
      <c r="J46" s="562"/>
      <c r="K46" s="103"/>
      <c r="L46" s="103"/>
      <c r="M46" s="103"/>
      <c r="N46" s="222"/>
      <c r="O46" s="520"/>
      <c r="P46" s="543"/>
      <c r="Q46" s="543"/>
      <c r="R46" s="543"/>
      <c r="S46" s="543"/>
      <c r="T46" s="543"/>
      <c r="U46" s="543"/>
      <c r="V46" s="543"/>
      <c r="W46" s="543"/>
      <c r="X46" s="543"/>
      <c r="Y46" s="543"/>
      <c r="Z46" s="543"/>
      <c r="AA46" s="554"/>
      <c r="AG46" s="103" t="s">
        <v>807</v>
      </c>
      <c r="AI46" s="103" t="s">
        <v>471</v>
      </c>
      <c r="AJ46" s="158" t="s">
        <v>9</v>
      </c>
      <c r="AK46" s="158" t="s">
        <v>61</v>
      </c>
      <c r="AL46" s="158" t="s">
        <v>62</v>
      </c>
      <c r="AM46" s="158" t="s">
        <v>65</v>
      </c>
      <c r="AR46" s="238">
        <f>((((((AJ38*H32+AJ39*H33+AJ40*H34+AJ45*H35)/(H32+H33+H34+H35))/L32)^2)*2)-((AL38*H32+AL39*H33+AL40*H34+AL45*H35)/(H32+H33+H34+H35)))-((AK38*H32+AK39*H33+AK40*H34+AK45*H35)/(H32+H33+H34+H35))</f>
        <v>7.3022327289899938</v>
      </c>
      <c r="AS46" s="103">
        <f>((((((AJ38*H32+AJ39*H33+AJ40*H34+AJ45*H35)/(H32+H33+H34+H35))/L32)^2)*2)-((AL38*H32+AL39*H33+AL40*H34+AL45*H35)/(H32+H33+H34+H35)))-AV39</f>
        <v>7.6589336776567523</v>
      </c>
      <c r="AT46" s="162">
        <f>((H36-H35)/100)*0.19*AR46</f>
        <v>9.0231999561072023</v>
      </c>
      <c r="AU46" s="103">
        <f>((H36-H35)/100)*0.19*AS46</f>
        <v>9.463967061704297</v>
      </c>
    </row>
    <row r="47" spans="2:50">
      <c r="B47" s="561"/>
      <c r="C47" s="562"/>
      <c r="D47" s="562"/>
      <c r="E47" s="103"/>
      <c r="F47" s="103"/>
      <c r="G47" s="562"/>
      <c r="H47" s="562"/>
      <c r="I47" s="562"/>
      <c r="J47" s="562"/>
      <c r="K47" s="103"/>
      <c r="L47" s="103"/>
      <c r="M47" s="103"/>
      <c r="O47" s="520"/>
      <c r="P47" s="543"/>
      <c r="Q47" s="543"/>
      <c r="R47" s="543"/>
      <c r="S47" s="543"/>
      <c r="T47" s="543"/>
      <c r="U47" s="543"/>
      <c r="V47" s="543"/>
      <c r="W47" s="543"/>
      <c r="X47" s="543"/>
      <c r="Y47" s="543"/>
      <c r="Z47" s="543"/>
      <c r="AA47" s="513"/>
      <c r="AB47" s="458"/>
      <c r="AC47" s="458"/>
      <c r="AD47" s="458"/>
      <c r="AE47" s="424"/>
      <c r="AG47" s="103">
        <v>1</v>
      </c>
      <c r="AH47" s="103">
        <f>IF($AG$31=AG47,AH$31,IF($AG$32=AG47,AH$32,IF($AG$33=AG47,AH$33,IF($AG$34=AG47,AH$34,IF($AG$35=AG47,AH$35,"")))))</f>
        <v>14310218</v>
      </c>
      <c r="AI47" s="103">
        <f t="shared" ref="AI47:AM49" si="10">IF($AG$31=$AG47,AI$31,IF($AG$32=$AG47,AI$32,IF($AG$33=$AG47,AI$33,IF($AG$34=$AG47,AI$34,IF($AG$35=$AG47,AI$35,"")))))</f>
        <v>5.6</v>
      </c>
      <c r="AJ47" s="103">
        <f>IF($AG$31=$AG47,AJ$31,IF($AG$32=$AG47,AJ$32,IF($AG$33=$AG47,AJ$33,IF($AG$34=$AG47,AJ$34,IF($AG$35=$AG47,AJ$35,"")))))</f>
        <v>47.39</v>
      </c>
      <c r="AK47" s="103">
        <f t="shared" si="10"/>
        <v>3.3</v>
      </c>
      <c r="AL47" s="103">
        <f t="shared" si="10"/>
        <v>3.52</v>
      </c>
      <c r="AM47" s="103">
        <f t="shared" si="10"/>
        <v>13.85</v>
      </c>
      <c r="AT47" s="217"/>
      <c r="AU47" s="162"/>
      <c r="AV47" s="162"/>
      <c r="AW47" s="162"/>
      <c r="AX47" s="162"/>
    </row>
    <row r="48" spans="2:50">
      <c r="B48" s="561"/>
      <c r="C48" s="562"/>
      <c r="D48" s="562"/>
      <c r="E48" s="239"/>
      <c r="G48" s="562"/>
      <c r="H48" s="562"/>
      <c r="I48" s="562"/>
      <c r="J48" s="562"/>
      <c r="K48" s="103"/>
      <c r="L48" s="220"/>
      <c r="M48" s="220"/>
      <c r="O48" s="520"/>
      <c r="P48" s="483"/>
      <c r="Q48" s="483"/>
      <c r="R48" s="483"/>
      <c r="S48" s="483"/>
      <c r="T48" s="483"/>
      <c r="U48" s="483"/>
      <c r="V48" s="483"/>
      <c r="W48" s="483"/>
      <c r="X48" s="483"/>
      <c r="Y48" s="483"/>
      <c r="Z48" s="483"/>
      <c r="AA48" s="515"/>
      <c r="AB48" s="514"/>
      <c r="AC48" s="514"/>
      <c r="AD48" s="514"/>
      <c r="AE48" s="468"/>
      <c r="AG48" s="103">
        <v>2</v>
      </c>
      <c r="AH48" s="103" t="str">
        <f>IF(AG$31=AG48,AH$31,IF(AG$32=AG48,AH$32,IF(AG$33=AG48,AH$33,IF(AG$34=AG48,AH$34,IF(AG$35=AG48,AH$35,"")))))</f>
        <v>Burd 12001253  11/93</v>
      </c>
      <c r="AI48" s="103">
        <f t="shared" si="10"/>
        <v>1.35</v>
      </c>
      <c r="AJ48" s="103">
        <f t="shared" si="10"/>
        <v>9.35</v>
      </c>
      <c r="AK48" s="103">
        <f t="shared" si="10"/>
        <v>1.83</v>
      </c>
      <c r="AL48" s="103">
        <f t="shared" si="10"/>
        <v>2.2999999999999998</v>
      </c>
      <c r="AM48" s="103">
        <f t="shared" si="10"/>
        <v>6.31</v>
      </c>
      <c r="AR48" s="103" t="s">
        <v>9</v>
      </c>
      <c r="AS48" s="103" t="s">
        <v>62</v>
      </c>
      <c r="AT48" s="162" t="s">
        <v>61</v>
      </c>
    </row>
    <row r="49" spans="2:47">
      <c r="B49" s="229"/>
      <c r="C49" s="103"/>
      <c r="D49" s="103"/>
      <c r="E49" s="239"/>
      <c r="F49" s="220"/>
      <c r="G49" s="562"/>
      <c r="H49" s="562"/>
      <c r="I49" s="562"/>
      <c r="J49" s="562"/>
      <c r="K49" s="220"/>
      <c r="L49" s="220"/>
      <c r="M49" s="220"/>
      <c r="O49" s="271"/>
      <c r="P49" s="271"/>
      <c r="Q49" s="532"/>
      <c r="R49" s="271"/>
      <c r="S49" s="271"/>
      <c r="T49" s="271"/>
      <c r="U49" s="271"/>
      <c r="V49" s="271"/>
      <c r="W49" s="271"/>
      <c r="X49" s="271"/>
      <c r="Y49" s="271"/>
      <c r="Z49" s="271"/>
      <c r="AA49" s="530"/>
      <c r="AB49" s="511"/>
      <c r="AC49" s="511"/>
      <c r="AD49" s="511"/>
      <c r="AE49" s="271"/>
      <c r="AG49" s="103">
        <v>3</v>
      </c>
      <c r="AH49" s="103" t="str">
        <f>IF(AG$31=AG49,AH$31,IF(AG$32=AG49,AH$32,IF(AG$33=AG49,AH$33,IF(AG$34=AG49,AH$34,IF(AG$35=AG49,AH$35,"")))))</f>
        <v>Yelarbon bore</v>
      </c>
      <c r="AI49" s="103">
        <f t="shared" si="10"/>
        <v>1.107</v>
      </c>
      <c r="AJ49" s="103">
        <f t="shared" si="10"/>
        <v>14</v>
      </c>
      <c r="AK49" s="103">
        <f t="shared" si="10"/>
        <v>0.85</v>
      </c>
      <c r="AL49" s="103">
        <f t="shared" si="10"/>
        <v>0.15</v>
      </c>
      <c r="AM49" s="103">
        <f t="shared" si="10"/>
        <v>7.6</v>
      </c>
      <c r="AR49" s="103">
        <f>((AJ38*H32+AJ39*H33+AJ40*H34)/(H32+H33+H34))</f>
        <v>14.308046556973153</v>
      </c>
      <c r="AS49" s="103">
        <f>((AL38*H32+AL39*H33+AL40*H34)/(H32+H33+H34))</f>
        <v>0.18109065280022535</v>
      </c>
      <c r="AT49" s="162">
        <f>((AK38*H32+AK39*H33+AK40*H34)/(H32+H33+H34))</f>
        <v>0.87260299684289366</v>
      </c>
    </row>
    <row r="50" spans="2:47">
      <c r="B50" s="150"/>
      <c r="O50" s="271"/>
      <c r="P50" s="271"/>
      <c r="Q50" s="533"/>
      <c r="R50" s="271"/>
      <c r="S50" s="271"/>
      <c r="T50" s="271"/>
      <c r="U50" s="271"/>
      <c r="V50" s="271"/>
      <c r="W50" s="271"/>
      <c r="X50" s="271"/>
      <c r="Y50" s="271"/>
      <c r="Z50" s="271"/>
      <c r="AA50" s="530"/>
      <c r="AB50" s="511"/>
      <c r="AC50" s="511"/>
      <c r="AD50" s="511"/>
      <c r="AE50" s="271"/>
      <c r="AG50" s="103">
        <v>4</v>
      </c>
      <c r="AH50" s="103" t="str">
        <f t="shared" ref="AH50:AM50" si="11">IF(AG$31=AG50,AH$31,IF(AG$32=AG50,AH$32,IF(AG$33=AG50,AH$33,IF(AG$34=AG50,AH$34,IF(AG$35=AG50,AH$35,IF(AG$50=AG36,AH36,""))))))</f>
        <v/>
      </c>
      <c r="AI50" s="103" t="str">
        <f t="shared" si="11"/>
        <v/>
      </c>
      <c r="AJ50" s="103" t="str">
        <f t="shared" si="11"/>
        <v/>
      </c>
      <c r="AK50" s="103" t="str">
        <f t="shared" si="11"/>
        <v/>
      </c>
      <c r="AL50" s="103" t="str">
        <f t="shared" si="11"/>
        <v/>
      </c>
      <c r="AM50" s="103" t="str">
        <f t="shared" si="11"/>
        <v/>
      </c>
      <c r="AT50" s="162"/>
    </row>
    <row r="51" spans="2:47">
      <c r="B51" s="150"/>
      <c r="O51" s="271"/>
      <c r="P51" s="271"/>
      <c r="Q51" s="532"/>
      <c r="R51" s="271"/>
      <c r="S51" s="271"/>
      <c r="T51" s="271"/>
      <c r="U51" s="271"/>
      <c r="V51" s="271"/>
      <c r="W51" s="271"/>
      <c r="X51" s="271"/>
      <c r="Y51" s="271"/>
      <c r="Z51" s="271"/>
      <c r="AA51" s="512"/>
      <c r="AB51" s="511"/>
      <c r="AC51" s="511"/>
      <c r="AD51" s="511"/>
      <c r="AE51" s="271"/>
      <c r="AR51" s="103" t="s">
        <v>802</v>
      </c>
      <c r="AS51" s="103" t="s">
        <v>803</v>
      </c>
      <c r="AT51" s="162" t="s">
        <v>804</v>
      </c>
    </row>
    <row r="52" spans="2:47" ht="15" customHeight="1">
      <c r="B52" s="229"/>
      <c r="C52" s="103"/>
      <c r="D52" s="103"/>
      <c r="E52" s="103"/>
      <c r="F52" s="103"/>
      <c r="G52" s="103"/>
      <c r="H52" s="103"/>
      <c r="I52" s="103"/>
      <c r="J52" s="103"/>
      <c r="K52" s="103"/>
      <c r="L52" s="103"/>
      <c r="M52" s="103"/>
      <c r="O52" s="271"/>
      <c r="P52" s="483"/>
      <c r="Q52" s="483"/>
      <c r="R52" s="483"/>
      <c r="S52" s="483"/>
      <c r="T52" s="483"/>
      <c r="U52" s="483"/>
      <c r="V52" s="483"/>
      <c r="W52" s="483"/>
      <c r="X52" s="483"/>
      <c r="Y52" s="483"/>
      <c r="Z52" s="483"/>
      <c r="AA52" s="492"/>
      <c r="AB52" s="511"/>
      <c r="AC52" s="511"/>
      <c r="AD52" s="511"/>
      <c r="AE52" s="271"/>
      <c r="AR52" s="103">
        <f>AR49^2</f>
        <v>204.7201962765113</v>
      </c>
      <c r="AS52" s="103">
        <f>G42^2*AS49</f>
        <v>70.367538036620232</v>
      </c>
      <c r="AT52" s="217">
        <f>G42^2</f>
        <v>388.57631218684668</v>
      </c>
      <c r="AU52" s="103">
        <f>(AR52-AS52)/AT52</f>
        <v>0.34575617202133435</v>
      </c>
    </row>
    <row r="53" spans="2:47" ht="15" customHeight="1">
      <c r="B53" s="229"/>
      <c r="C53" s="103"/>
      <c r="D53" s="103"/>
      <c r="E53" s="103"/>
      <c r="F53" s="103"/>
      <c r="G53" s="103"/>
      <c r="H53" s="103"/>
      <c r="I53" s="103"/>
      <c r="J53" s="103"/>
      <c r="K53" s="103"/>
      <c r="L53" s="103"/>
      <c r="M53" s="103"/>
      <c r="N53" s="103"/>
      <c r="O53" s="271"/>
      <c r="P53" s="483"/>
      <c r="Q53" s="483"/>
      <c r="R53" s="483"/>
      <c r="S53" s="483"/>
      <c r="T53" s="483"/>
      <c r="U53" s="483"/>
      <c r="V53" s="483"/>
      <c r="W53" s="483"/>
      <c r="X53" s="483"/>
      <c r="Y53" s="483"/>
      <c r="Z53" s="483"/>
      <c r="AA53" s="492"/>
      <c r="AB53" s="511"/>
      <c r="AC53" s="511"/>
      <c r="AD53" s="511"/>
      <c r="AE53" s="271"/>
    </row>
    <row r="54" spans="2:47">
      <c r="B54" s="229"/>
      <c r="C54" s="103"/>
      <c r="D54" s="103"/>
      <c r="E54" s="239"/>
      <c r="F54" s="220"/>
      <c r="G54" s="103"/>
      <c r="H54" s="103"/>
      <c r="I54" s="103"/>
      <c r="J54" s="103"/>
      <c r="K54" s="220"/>
      <c r="L54" s="220"/>
      <c r="M54" s="220"/>
      <c r="N54" s="103"/>
      <c r="O54" s="271"/>
      <c r="P54" s="533"/>
      <c r="Q54" s="520"/>
      <c r="R54" s="520"/>
      <c r="S54" s="271"/>
      <c r="T54" s="271"/>
      <c r="U54" s="271"/>
      <c r="V54" s="271"/>
      <c r="W54" s="271"/>
      <c r="X54" s="271"/>
      <c r="Y54" s="271"/>
      <c r="Z54" s="271"/>
      <c r="AA54" s="459"/>
      <c r="AB54" s="511"/>
      <c r="AC54" s="511"/>
      <c r="AD54" s="511"/>
      <c r="AE54" s="271"/>
    </row>
    <row r="55" spans="2:47" ht="26.25" customHeight="1" thickBot="1">
      <c r="B55" s="531"/>
      <c r="C55" s="147"/>
      <c r="D55" s="147"/>
      <c r="E55" s="147"/>
      <c r="F55" s="147"/>
      <c r="G55" s="147"/>
      <c r="H55" s="147"/>
      <c r="I55" s="147"/>
      <c r="J55" s="147"/>
      <c r="K55" s="546"/>
      <c r="L55" s="546"/>
      <c r="M55" s="546"/>
      <c r="N55" s="147"/>
      <c r="O55" s="547"/>
      <c r="P55" s="548"/>
      <c r="Q55" s="549"/>
      <c r="R55" s="549"/>
      <c r="S55" s="549"/>
      <c r="T55" s="549"/>
      <c r="U55" s="549"/>
      <c r="V55" s="549"/>
      <c r="W55" s="549"/>
      <c r="X55" s="549"/>
      <c r="Y55" s="549"/>
      <c r="Z55" s="549"/>
      <c r="AA55" s="493"/>
      <c r="AB55" s="511"/>
      <c r="AC55" s="511"/>
      <c r="AD55" s="511"/>
      <c r="AE55" s="271"/>
      <c r="AG55" s="103" t="s">
        <v>766</v>
      </c>
      <c r="AH55" s="103" t="s">
        <v>767</v>
      </c>
      <c r="AI55" s="103" t="s">
        <v>768</v>
      </c>
      <c r="AJ55" s="103" t="s">
        <v>769</v>
      </c>
    </row>
    <row r="56" spans="2:47" ht="15" customHeight="1">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511"/>
      <c r="AC56" s="511"/>
      <c r="AD56" s="511"/>
      <c r="AE56" s="271"/>
      <c r="AG56" s="103">
        <f>VLOOKUP(K32,AI18:AL22,4,FALSE)</f>
        <v>7.408450704225352</v>
      </c>
      <c r="AH56" s="103">
        <f>1.175*AG56</f>
        <v>8.7049295774647888</v>
      </c>
      <c r="AI56" s="103" t="e">
        <f>#REF!-#REF!</f>
        <v>#REF!</v>
      </c>
      <c r="AM56" s="103">
        <f>(7.92+10.15)/2</f>
        <v>9.0350000000000001</v>
      </c>
      <c r="AO56" s="103" t="s">
        <v>805</v>
      </c>
    </row>
    <row r="57" spans="2:47" ht="15" customHeight="1">
      <c r="B57" s="103" t="s">
        <v>1479</v>
      </c>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H57" s="103" t="s">
        <v>792</v>
      </c>
      <c r="AM57" s="103">
        <f>SQRT(AM56)</f>
        <v>3.0058276730378273</v>
      </c>
      <c r="AO57" s="103">
        <f>AR49/G42</f>
        <v>0.72584214869457642</v>
      </c>
      <c r="AP57" s="103">
        <f>(((((AJ38*H32+AJ39*H33+AJ40*H34)/(H32+H33+H34))/G42)^2)*2)</f>
        <v>1.0536936496431191</v>
      </c>
    </row>
    <row r="58" spans="2:47">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H58" s="103">
        <f>IF(M32="Minimise Dd = LF 0.1",B42,IF(M32="Average Dd = LF 0.15",C42,IF(M32="High Dd = LF 0.2",D42,"")))</f>
        <v>5.352605633802817</v>
      </c>
      <c r="AM58" s="103">
        <f>18.93/AM57</f>
        <v>6.2977662258556801</v>
      </c>
      <c r="AO58" s="103">
        <f>AO57^2</f>
        <v>0.52684682482155953</v>
      </c>
      <c r="AP58" s="103">
        <f>((((((AJ38*H32+AJ39*H33+AJ40*H34)/(H32+H33+H34))/G42)^2)*2)-((AL38*H32+AL39*H33+AL40*H34)/(H32+H33+H34)))</f>
        <v>0.87260299684289366</v>
      </c>
    </row>
    <row r="59" spans="2:47">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H59" s="103" t="s">
        <v>793</v>
      </c>
      <c r="AO59" s="103">
        <f>AO58*2</f>
        <v>1.0536936496431191</v>
      </c>
    </row>
    <row r="60" spans="2:47">
      <c r="B60" s="151"/>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H60" s="103">
        <f>IF(Q32="SAR",G42,IF(Q32="SAR adj Ca",H42,""))</f>
        <v>24.237131960752439</v>
      </c>
      <c r="AO60" s="103">
        <f>AO59-AS49</f>
        <v>0.87260299684289366</v>
      </c>
    </row>
    <row r="61" spans="2:47">
      <c r="B61" s="103"/>
      <c r="C61" s="103"/>
      <c r="D61" s="103"/>
      <c r="E61" s="103"/>
      <c r="F61" s="103"/>
      <c r="G61" s="103"/>
      <c r="H61" s="103"/>
      <c r="I61" s="103" t="s">
        <v>1454</v>
      </c>
      <c r="K61" s="162" t="s">
        <v>1453</v>
      </c>
      <c r="L61" s="103"/>
      <c r="M61" s="103"/>
      <c r="N61" s="103"/>
      <c r="O61" s="103"/>
      <c r="P61" s="103"/>
      <c r="Q61" s="103"/>
      <c r="R61" s="103"/>
      <c r="S61" s="103"/>
      <c r="T61" s="103"/>
      <c r="U61" s="103"/>
      <c r="V61" s="103"/>
      <c r="W61" s="103"/>
      <c r="X61" s="103"/>
      <c r="Y61" s="103"/>
      <c r="Z61" s="103"/>
    </row>
    <row r="62" spans="2:47">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spans="2:47" ht="17.25" customHeight="1">
      <c r="B63" s="103"/>
      <c r="C63" s="103"/>
      <c r="D63" s="103"/>
      <c r="E63" s="103"/>
      <c r="F63" s="103"/>
      <c r="G63" s="103"/>
      <c r="H63" s="103"/>
      <c r="I63" s="103" t="s">
        <v>1462</v>
      </c>
      <c r="J63" s="103"/>
      <c r="K63" s="103"/>
      <c r="L63" s="103"/>
      <c r="M63" s="103"/>
    </row>
    <row r="64" spans="2:47" ht="17.25" customHeight="1">
      <c r="C64" s="103"/>
      <c r="I64" s="162" t="s">
        <v>1455</v>
      </c>
      <c r="K64" s="162" t="s">
        <v>1452</v>
      </c>
    </row>
    <row r="65" spans="2:38" ht="17.25" customHeight="1"/>
    <row r="66" spans="2:38" ht="17.25" customHeight="1">
      <c r="I66" s="162" t="s">
        <v>1456</v>
      </c>
    </row>
    <row r="67" spans="2:38" ht="17.25" customHeight="1">
      <c r="I67" s="162" t="s">
        <v>1447</v>
      </c>
      <c r="J67" s="603" t="s">
        <v>1448</v>
      </c>
      <c r="K67" s="103" t="s">
        <v>1446</v>
      </c>
      <c r="Z67" s="103"/>
      <c r="AA67" s="103"/>
    </row>
    <row r="68" spans="2:38" ht="17.25" customHeight="1">
      <c r="I68" s="162" t="s">
        <v>1449</v>
      </c>
      <c r="J68" s="603" t="s">
        <v>1450</v>
      </c>
      <c r="K68" s="162" t="s">
        <v>1463</v>
      </c>
      <c r="Z68" s="103"/>
      <c r="AA68" s="103"/>
    </row>
    <row r="69" spans="2:38" ht="17.25" customHeight="1">
      <c r="I69" s="162" t="s">
        <v>1457</v>
      </c>
      <c r="J69" s="603" t="s">
        <v>1450</v>
      </c>
      <c r="K69" s="162" t="s">
        <v>1464</v>
      </c>
      <c r="Z69" s="103"/>
      <c r="AA69" s="103"/>
      <c r="AG69" s="157"/>
      <c r="AH69" s="157"/>
      <c r="AI69" s="157"/>
      <c r="AJ69" s="157"/>
      <c r="AK69" s="157"/>
      <c r="AL69" s="157"/>
    </row>
    <row r="70" spans="2:38" ht="17.25" customHeight="1">
      <c r="I70" s="162" t="s">
        <v>1457</v>
      </c>
      <c r="J70" s="603" t="s">
        <v>1448</v>
      </c>
      <c r="K70" s="162" t="s">
        <v>1465</v>
      </c>
      <c r="Z70" s="103"/>
      <c r="AA70" s="103"/>
      <c r="AG70" s="162"/>
      <c r="AH70" s="162"/>
      <c r="AI70" s="157"/>
      <c r="AJ70" s="157"/>
      <c r="AK70" s="157"/>
      <c r="AL70" s="157"/>
    </row>
    <row r="71" spans="2:38" ht="17.25" customHeight="1">
      <c r="I71" s="162" t="s">
        <v>1457</v>
      </c>
      <c r="J71" s="609" t="s">
        <v>1450</v>
      </c>
      <c r="K71" s="605">
        <v>3000</v>
      </c>
      <c r="Z71" s="103"/>
      <c r="AA71" s="103"/>
      <c r="AG71" s="162"/>
      <c r="AH71" s="162"/>
      <c r="AI71" s="157"/>
      <c r="AJ71" s="157"/>
      <c r="AK71" s="157"/>
      <c r="AL71" s="157"/>
    </row>
    <row r="72" spans="2:38" ht="17.25" customHeight="1">
      <c r="I72" s="162" t="s">
        <v>1457</v>
      </c>
      <c r="J72" s="603" t="s">
        <v>1448</v>
      </c>
      <c r="K72" s="605">
        <v>0</v>
      </c>
      <c r="N72" s="103"/>
      <c r="O72" s="103"/>
      <c r="P72" s="103"/>
      <c r="Q72" s="103"/>
      <c r="R72" s="103"/>
      <c r="S72" s="103"/>
      <c r="T72" s="103"/>
      <c r="U72" s="103"/>
      <c r="V72" s="103"/>
      <c r="W72" s="103"/>
      <c r="X72" s="103"/>
      <c r="Y72" s="103"/>
      <c r="Z72" s="103"/>
      <c r="AA72" s="103"/>
      <c r="AG72" s="162"/>
      <c r="AH72" s="162"/>
      <c r="AI72" s="157"/>
      <c r="AJ72" s="157"/>
      <c r="AK72" s="157"/>
      <c r="AL72" s="157"/>
    </row>
    <row r="73" spans="2:38" ht="17.25" customHeight="1">
      <c r="I73" s="162" t="s">
        <v>1458</v>
      </c>
      <c r="J73" s="603" t="s">
        <v>1450</v>
      </c>
      <c r="K73" s="162" t="s">
        <v>1466</v>
      </c>
      <c r="N73" s="103"/>
      <c r="O73" s="103"/>
      <c r="P73" s="103"/>
      <c r="Q73" s="103"/>
      <c r="R73" s="103"/>
      <c r="S73" s="103"/>
      <c r="T73" s="103"/>
      <c r="U73" s="103"/>
      <c r="V73" s="103"/>
      <c r="W73" s="103"/>
      <c r="X73" s="103"/>
      <c r="Y73" s="103"/>
      <c r="Z73" s="103"/>
      <c r="AA73" s="103"/>
      <c r="AG73" s="162"/>
      <c r="AH73" s="162"/>
      <c r="AI73" s="157"/>
      <c r="AJ73" s="157"/>
      <c r="AK73" s="157"/>
      <c r="AL73" s="157"/>
    </row>
    <row r="74" spans="2:38">
      <c r="B74" s="103"/>
      <c r="I74" s="162" t="s">
        <v>1458</v>
      </c>
      <c r="J74" s="609" t="s">
        <v>1450</v>
      </c>
      <c r="K74" s="605">
        <v>3000</v>
      </c>
      <c r="N74" s="103"/>
      <c r="O74" s="103"/>
      <c r="P74" s="103"/>
      <c r="Q74" s="103"/>
      <c r="R74" s="103"/>
      <c r="S74" s="103"/>
      <c r="T74" s="103"/>
      <c r="U74" s="103"/>
      <c r="V74" s="103"/>
      <c r="W74" s="103"/>
      <c r="X74" s="103"/>
      <c r="Y74" s="103"/>
      <c r="Z74" s="103"/>
      <c r="AA74" s="103"/>
      <c r="AG74" s="162"/>
      <c r="AH74" s="162"/>
      <c r="AI74" s="157"/>
      <c r="AJ74" s="157"/>
      <c r="AK74" s="157"/>
      <c r="AL74" s="157"/>
    </row>
    <row r="75" spans="2:38">
      <c r="B75" s="103"/>
      <c r="I75" s="162" t="s">
        <v>1458</v>
      </c>
      <c r="J75" s="603" t="s">
        <v>1448</v>
      </c>
      <c r="K75" s="162" t="s">
        <v>1467</v>
      </c>
      <c r="N75" s="103"/>
      <c r="O75" s="103"/>
      <c r="P75" s="103"/>
      <c r="Q75" s="103"/>
      <c r="R75" s="103"/>
      <c r="S75" s="103"/>
      <c r="T75" s="103"/>
      <c r="U75" s="103"/>
      <c r="V75" s="103"/>
      <c r="W75" s="103"/>
      <c r="X75" s="103"/>
      <c r="Y75" s="103"/>
      <c r="Z75" s="103"/>
      <c r="AA75" s="103"/>
    </row>
    <row r="76" spans="2:38">
      <c r="C76" s="103"/>
      <c r="I76" s="162" t="s">
        <v>1458</v>
      </c>
      <c r="J76" s="603" t="s">
        <v>1448</v>
      </c>
      <c r="K76" s="605">
        <v>0</v>
      </c>
      <c r="N76" s="103"/>
      <c r="O76" s="103"/>
      <c r="P76" s="103"/>
      <c r="Q76" s="103"/>
      <c r="R76" s="103"/>
      <c r="S76" s="103"/>
      <c r="T76" s="103"/>
      <c r="U76" s="103"/>
      <c r="V76" s="103"/>
      <c r="W76" s="103"/>
      <c r="X76" s="103"/>
      <c r="Y76" s="103"/>
      <c r="Z76" s="103"/>
      <c r="AA76" s="103"/>
    </row>
    <row r="77" spans="2:38">
      <c r="C77" s="103"/>
      <c r="I77" s="162" t="s">
        <v>1459</v>
      </c>
      <c r="J77" s="603" t="s">
        <v>1450</v>
      </c>
      <c r="K77" s="162" t="s">
        <v>1468</v>
      </c>
      <c r="N77" s="103"/>
      <c r="O77" s="103"/>
      <c r="P77" s="103"/>
      <c r="Q77" s="103"/>
      <c r="R77" s="103"/>
      <c r="S77" s="103"/>
      <c r="T77" s="103"/>
      <c r="U77" s="103"/>
      <c r="V77" s="103"/>
      <c r="W77" s="103"/>
      <c r="X77" s="103"/>
      <c r="Y77" s="103"/>
      <c r="Z77" s="103"/>
      <c r="AA77" s="103"/>
    </row>
    <row r="78" spans="2:38">
      <c r="C78" s="103"/>
      <c r="I78" s="162" t="s">
        <v>1459</v>
      </c>
      <c r="J78" s="609" t="s">
        <v>1450</v>
      </c>
      <c r="K78" s="605">
        <v>3000</v>
      </c>
      <c r="N78" s="103"/>
      <c r="O78" s="103"/>
      <c r="P78" s="103"/>
      <c r="Q78" s="103"/>
      <c r="R78" s="103"/>
      <c r="S78" s="103"/>
      <c r="T78" s="103"/>
      <c r="U78" s="103"/>
      <c r="V78" s="103"/>
      <c r="W78" s="103"/>
      <c r="X78" s="103"/>
      <c r="Y78" s="103"/>
      <c r="Z78" s="103"/>
      <c r="AA78" s="103"/>
    </row>
    <row r="79" spans="2:38">
      <c r="I79" s="162" t="s">
        <v>1459</v>
      </c>
      <c r="J79" s="603" t="s">
        <v>1448</v>
      </c>
      <c r="K79" s="162" t="s">
        <v>1469</v>
      </c>
      <c r="N79" s="103"/>
      <c r="O79" s="103"/>
      <c r="P79" s="103"/>
      <c r="Q79" s="103"/>
      <c r="R79" s="103"/>
      <c r="S79" s="103"/>
      <c r="T79" s="103"/>
      <c r="U79" s="103"/>
      <c r="V79" s="103"/>
      <c r="W79" s="103"/>
      <c r="X79" s="103"/>
      <c r="Y79" s="103"/>
      <c r="Z79" s="103"/>
      <c r="AA79" s="103"/>
    </row>
    <row r="80" spans="2:38">
      <c r="B80" s="103"/>
      <c r="I80" s="162" t="s">
        <v>1459</v>
      </c>
      <c r="J80" s="603" t="s">
        <v>1448</v>
      </c>
      <c r="K80" s="605">
        <v>0</v>
      </c>
      <c r="N80" s="103"/>
      <c r="O80" s="103"/>
      <c r="P80" s="103"/>
      <c r="Q80" s="103"/>
      <c r="R80" s="103"/>
      <c r="S80" s="103"/>
      <c r="T80" s="103"/>
      <c r="U80" s="103"/>
      <c r="V80" s="103"/>
      <c r="W80" s="103"/>
      <c r="X80" s="103"/>
      <c r="Y80" s="103"/>
      <c r="Z80" s="103"/>
      <c r="AA80" s="103"/>
    </row>
    <row r="81" spans="9:11">
      <c r="I81" s="162" t="s">
        <v>1460</v>
      </c>
      <c r="J81" s="603" t="s">
        <v>1450</v>
      </c>
      <c r="K81" s="162" t="s">
        <v>1470</v>
      </c>
    </row>
    <row r="82" spans="9:11">
      <c r="I82" s="162" t="s">
        <v>1460</v>
      </c>
      <c r="J82" s="609" t="s">
        <v>1450</v>
      </c>
      <c r="K82" s="605">
        <v>3000</v>
      </c>
    </row>
    <row r="83" spans="9:11">
      <c r="I83" s="162" t="s">
        <v>1460</v>
      </c>
      <c r="J83" s="603" t="s">
        <v>1448</v>
      </c>
      <c r="K83" s="162" t="s">
        <v>1471</v>
      </c>
    </row>
    <row r="84" spans="9:11">
      <c r="I84" s="162" t="s">
        <v>1460</v>
      </c>
      <c r="J84" s="603" t="s">
        <v>1448</v>
      </c>
      <c r="K84" s="605">
        <v>0</v>
      </c>
    </row>
    <row r="85" spans="9:11">
      <c r="I85" s="162" t="s">
        <v>1461</v>
      </c>
      <c r="J85" s="603" t="s">
        <v>1451</v>
      </c>
      <c r="K85" s="162" t="s">
        <v>1472</v>
      </c>
    </row>
  </sheetData>
  <protectedRanges>
    <protectedRange sqref="D21:D26" name="WaterSelection"/>
    <protectedRange sqref="E32:Q35" name="MixingConditions"/>
  </protectedRanges>
  <mergeCells count="60">
    <mergeCell ref="B43:D43"/>
    <mergeCell ref="G44:H44"/>
    <mergeCell ref="I44:J44"/>
    <mergeCell ref="D27:J27"/>
    <mergeCell ref="L27:X27"/>
    <mergeCell ref="B36:E36"/>
    <mergeCell ref="C37:E37"/>
    <mergeCell ref="L37:Q38"/>
    <mergeCell ref="F37:H38"/>
    <mergeCell ref="B40:D40"/>
    <mergeCell ref="F30:F31"/>
    <mergeCell ref="H30:H31"/>
    <mergeCell ref="I30:I31"/>
    <mergeCell ref="J30:J31"/>
    <mergeCell ref="C31:D31"/>
    <mergeCell ref="G30:G31"/>
    <mergeCell ref="L32:L34"/>
    <mergeCell ref="M32:N34"/>
    <mergeCell ref="O32:P34"/>
    <mergeCell ref="L3:M3"/>
    <mergeCell ref="C19:C20"/>
    <mergeCell ref="G28:I28"/>
    <mergeCell ref="B2:H2"/>
    <mergeCell ref="C32:D32"/>
    <mergeCell ref="C33:D33"/>
    <mergeCell ref="C34:D34"/>
    <mergeCell ref="C29:D30"/>
    <mergeCell ref="D19:D20"/>
    <mergeCell ref="C1:D1"/>
    <mergeCell ref="E1:G1"/>
    <mergeCell ref="I2:J2"/>
    <mergeCell ref="AL25:AL28"/>
    <mergeCell ref="J19:J20"/>
    <mergeCell ref="K19:K20"/>
    <mergeCell ref="AJ25:AJ28"/>
    <mergeCell ref="AK25:AK28"/>
    <mergeCell ref="M19:M20"/>
    <mergeCell ref="N19:N20"/>
    <mergeCell ref="L19:L20"/>
    <mergeCell ref="I19:I20"/>
    <mergeCell ref="M18:N18"/>
    <mergeCell ref="E18:L18"/>
    <mergeCell ref="N3:P3"/>
    <mergeCell ref="L4:N4"/>
    <mergeCell ref="K35:L35"/>
    <mergeCell ref="E32:E34"/>
    <mergeCell ref="F32:F34"/>
    <mergeCell ref="O18:V18"/>
    <mergeCell ref="M29:N29"/>
    <mergeCell ref="O29:P29"/>
    <mergeCell ref="M30:N30"/>
    <mergeCell ref="M31:N31"/>
    <mergeCell ref="D28:F28"/>
    <mergeCell ref="Q32:Q34"/>
    <mergeCell ref="E30:E31"/>
    <mergeCell ref="O30:P30"/>
    <mergeCell ref="O31:P31"/>
    <mergeCell ref="M35:Q35"/>
    <mergeCell ref="C35:D35"/>
    <mergeCell ref="K32:K34"/>
  </mergeCells>
  <conditionalFormatting sqref="I32">
    <cfRule type="expression" dxfId="5" priority="8">
      <formula>AND($I$32&gt;0,$AN$38=0)</formula>
    </cfRule>
  </conditionalFormatting>
  <conditionalFormatting sqref="I33">
    <cfRule type="expression" dxfId="4" priority="9">
      <formula>AND($I$33&gt;0,$AN$39=0)</formula>
    </cfRule>
  </conditionalFormatting>
  <conditionalFormatting sqref="J32">
    <cfRule type="expression" dxfId="3" priority="10">
      <formula>AND($J$32&gt;0,$AN$38=0)</formula>
    </cfRule>
  </conditionalFormatting>
  <conditionalFormatting sqref="J33">
    <cfRule type="expression" dxfId="2" priority="11">
      <formula>AND($J$33&gt;0,$AN$39=0)</formula>
    </cfRule>
  </conditionalFormatting>
  <conditionalFormatting sqref="I34">
    <cfRule type="expression" dxfId="1" priority="12">
      <formula>AND($I$34&gt;0,$AN$40=0)</formula>
    </cfRule>
  </conditionalFormatting>
  <conditionalFormatting sqref="J34">
    <cfRule type="expression" dxfId="0" priority="13">
      <formula>AND($J$34&gt;0,$AN$40=0)</formula>
    </cfRule>
  </conditionalFormatting>
  <dataValidations count="5">
    <dataValidation allowBlank="1" showErrorMessage="1" promptTitle="CO3 Unit" prompt="Please choose relevant CO3 unit" sqref="V20" xr:uid="{00000000-0002-0000-0700-000000000000}"/>
    <dataValidation allowBlank="1" showErrorMessage="1" promptTitle="HCO3 Unit" prompt="Please select the relevant HCO3 unit" sqref="U20" xr:uid="{00000000-0002-0000-0700-000001000000}"/>
    <dataValidation allowBlank="1" showErrorMessage="1" promptTitle="NA unit" prompt="Please select relevant NA unit from the drop down list" sqref="O20" xr:uid="{00000000-0002-0000-0700-000002000000}"/>
    <dataValidation allowBlank="1" showErrorMessage="1" errorTitle="Invalid EC Unit Selected" error="Please choose an EC unit from the available list" promptTitle="EC Unit" prompt="Choose the appropriate available unit of EC" sqref="E20" xr:uid="{00000000-0002-0000-0700-000003000000}"/>
    <dataValidation operator="equal" allowBlank="1" showInputMessage="1" showErrorMessage="1" sqref="K38" xr:uid="{00000000-0002-0000-0700-000004000000}"/>
  </dataValidations>
  <hyperlinks>
    <hyperlink ref="L3" location="'Front Page'!A1" display="Return to Front Page" xr:uid="{00000000-0004-0000-0700-000000000000}"/>
    <hyperlink ref="L4:M5" location="'Abbreviations and Glossary'!A1" display="Link to Abbreviations and Glossary" xr:uid="{00000000-0004-0000-0700-000001000000}"/>
    <hyperlink ref="N3:P3" location="'Abbreviations and Glossary'!A1" display="Link to Abbreviations and Glossary" xr:uid="{00000000-0004-0000-0700-000002000000}"/>
  </hyperlinks>
  <pageMargins left="0.23622047244094491" right="0.23622047244094491" top="0.23622047244094491" bottom="0.23622047244094491" header="0.31496062992125984" footer="0.31496062992125984"/>
  <pageSetup paperSize="8" scale="69" orientation="landscape" r:id="rId1"/>
  <ignoredErrors>
    <ignoredError sqref="B36 I37:I39 F39 D27:J27 C37 E26:J26 D28:F28 H28:J28" formulaRange="1"/>
  </ignoredError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5000000}">
          <x14:formula1>
            <xm:f>'Reference Lists&amp;Tables'!$O$13:$O$18</xm:f>
          </x14:formula1>
          <xm:sqref>K32</xm:sqref>
        </x14:dataValidation>
        <x14:dataValidation type="list" allowBlank="1" showInputMessage="1" showErrorMessage="1" xr:uid="{00000000-0002-0000-0700-000006000000}">
          <x14:formula1>
            <xm:f>'Reference Lists&amp;Tables'!$R$14:$R$15</xm:f>
          </x14:formula1>
          <xm:sqref>Q32:Q34</xm:sqref>
        </x14:dataValidation>
        <x14:dataValidation type="list" allowBlank="1" showInputMessage="1" showErrorMessage="1" xr:uid="{00000000-0002-0000-0700-000007000000}">
          <x14:formula1>
            <xm:f>'Reference Lists&amp;Tables'!$P$14:$P$16</xm:f>
          </x14:formula1>
          <xm:sqref>M32</xm:sqref>
        </x14:dataValidation>
        <x14:dataValidation type="list" allowBlank="1" showInputMessage="1" showErrorMessage="1" xr:uid="{00000000-0002-0000-0700-000008000000}">
          <x14:formula1>
            <xm:f>'Reference Lists&amp;Tables'!$H$47:$H$187</xm:f>
          </x14:formula1>
          <xm:sqref>M35</xm:sqref>
        </x14:dataValidation>
        <x14:dataValidation type="list" allowBlank="1" showInputMessage="1" showErrorMessage="1" xr:uid="{00000000-0002-0000-0700-000009000000}">
          <x14:formula1>
            <xm:f>'Reference Lists&amp;Tables'!$O$22:$O$23</xm:f>
          </x14:formula1>
          <xm:sqref>D26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158"/>
  <sheetViews>
    <sheetView workbookViewId="0">
      <pane xSplit="1" ySplit="6" topLeftCell="B135" activePane="bottomRight" state="frozen"/>
      <selection pane="topRight" activeCell="B1" sqref="B1"/>
      <selection pane="bottomLeft" activeCell="A7" sqref="A7"/>
      <selection pane="bottomRight" activeCell="I2" sqref="I2"/>
    </sheetView>
  </sheetViews>
  <sheetFormatPr defaultRowHeight="14.5"/>
  <cols>
    <col min="1" max="1" width="3.81640625" style="162" customWidth="1"/>
    <col min="2" max="2" width="35.54296875" customWidth="1"/>
    <col min="3" max="3" width="26.453125" customWidth="1"/>
    <col min="4" max="4" width="13.1796875" customWidth="1"/>
    <col min="5" max="5" width="14.1796875" customWidth="1"/>
    <col min="9" max="9" width="33.1796875" style="31" customWidth="1"/>
  </cols>
  <sheetData>
    <row r="1" spans="1:9" s="162" customFormat="1" ht="15" thickBot="1"/>
    <row r="2" spans="1:9" s="46" customFormat="1" ht="26">
      <c r="A2" s="162"/>
      <c r="B2" s="364" t="s">
        <v>501</v>
      </c>
      <c r="C2" s="165"/>
      <c r="D2" s="165"/>
      <c r="E2" s="165"/>
      <c r="F2" s="165"/>
      <c r="G2" s="165"/>
      <c r="H2" s="165"/>
      <c r="I2" s="365" t="s">
        <v>502</v>
      </c>
    </row>
    <row r="3" spans="1:9" s="46" customFormat="1">
      <c r="A3" s="162"/>
      <c r="B3" s="167"/>
      <c r="C3" s="161"/>
      <c r="D3" s="161"/>
      <c r="E3" s="161"/>
      <c r="F3" s="162"/>
      <c r="G3" s="161"/>
      <c r="H3" s="161"/>
      <c r="I3" s="168"/>
    </row>
    <row r="4" spans="1:9" ht="6.75" customHeight="1">
      <c r="B4" s="169"/>
      <c r="C4" s="62"/>
      <c r="D4" s="341"/>
      <c r="E4" s="341"/>
      <c r="F4" s="1264"/>
      <c r="G4" s="1264"/>
      <c r="H4" s="1264"/>
      <c r="I4" s="342"/>
    </row>
    <row r="5" spans="1:9" ht="42.75" customHeight="1">
      <c r="B5" s="383" t="s">
        <v>163</v>
      </c>
      <c r="C5" s="382" t="s">
        <v>164</v>
      </c>
      <c r="D5" s="345" t="s">
        <v>165</v>
      </c>
      <c r="E5" s="345" t="s">
        <v>166</v>
      </c>
      <c r="F5" s="1265" t="s">
        <v>167</v>
      </c>
      <c r="G5" s="1265"/>
      <c r="H5" s="1265"/>
      <c r="I5" s="347" t="s">
        <v>129</v>
      </c>
    </row>
    <row r="6" spans="1:9" ht="15" thickBot="1">
      <c r="B6" s="366"/>
      <c r="C6" s="41"/>
      <c r="D6" s="41"/>
      <c r="E6" s="41"/>
      <c r="F6" s="394" t="s">
        <v>168</v>
      </c>
      <c r="G6" s="394" t="s">
        <v>169</v>
      </c>
      <c r="H6" s="394" t="s">
        <v>170</v>
      </c>
      <c r="I6" s="367"/>
    </row>
    <row r="7" spans="1:9" ht="15.5">
      <c r="B7" s="369" t="s">
        <v>171</v>
      </c>
      <c r="C7" s="370"/>
      <c r="D7" s="372"/>
      <c r="E7" s="372"/>
      <c r="F7" s="372"/>
      <c r="G7" s="372"/>
      <c r="H7" s="372"/>
      <c r="I7" s="384"/>
    </row>
    <row r="8" spans="1:9">
      <c r="B8" s="376" t="s">
        <v>161</v>
      </c>
      <c r="C8" s="374" t="s">
        <v>162</v>
      </c>
      <c r="D8" s="375">
        <v>8</v>
      </c>
      <c r="E8" s="375">
        <v>5</v>
      </c>
      <c r="F8" s="375">
        <v>10</v>
      </c>
      <c r="G8" s="375">
        <v>13</v>
      </c>
      <c r="H8" s="375">
        <v>18</v>
      </c>
      <c r="I8" s="377" t="str">
        <f>IF(ISNUMBER(F8),IF(AND(F8&gt;=0,F8&lt;0.65),"sensitive",IF(AND(F8&gt;=0.65,F8&lt;1.3),"moderately sensitive",IF(AND(F8&gt;=1.3,F8&lt;2.9),"moderately tolerant",IF(AND(F8&gt;=2.9,F8&lt;5.2),"tolerant",IF(AND(F8&gt;=5.2,F8&lt;8.1),"very tolerant",IF(F8&gt;=8.1,"very highly tolerant")))))),IF(AND(ISNUMBER(D8),(OR(ISTEXT(F8),ISBLANK(F8)))),IF(AND(D8&gt;=0,D8&lt;0.65),"sensitive",IF(AND(D8&gt;=0.65,D8&lt;1.3),"moderately sensitive",IF(AND(D8&gt;=1.3,D8&lt;2.9),"moderately tolerant",IF(AND(D8&gt;=2.9,D8&lt;5.2),"tolerant",IF(AND(D8&gt;=5.2,D8&lt;8.1),"very tolerant",IF(D8&gt;=8.1,"very highly tolerant",""))))))))</f>
        <v>very highly tolerant</v>
      </c>
    </row>
    <row r="9" spans="1:9">
      <c r="B9" s="376" t="s">
        <v>172</v>
      </c>
      <c r="C9" s="374" t="s">
        <v>173</v>
      </c>
      <c r="D9" s="375">
        <v>1.7</v>
      </c>
      <c r="E9" s="375">
        <v>12</v>
      </c>
      <c r="F9" s="375">
        <v>2.5</v>
      </c>
      <c r="G9" s="375">
        <v>3.8</v>
      </c>
      <c r="H9" s="375">
        <v>5.9</v>
      </c>
      <c r="I9" s="377" t="str">
        <f t="shared" ref="I9:I75" si="0">IF(ISNUMBER(F9),IF(AND(F9&gt;=0,F9&lt;0.65),"sensitive",IF(AND(F9&gt;=0.65,F9&lt;1.3),"moderately sensitive",IF(AND(F9&gt;=1.3,F9&lt;2.9),"moderately tolerant",IF(AND(F9&gt;=2.9,F9&lt;5.2),"tolerant",IF(AND(F9&gt;=5.2,F9&lt;8.1),"very tolerant",IF(F9&gt;=8.1,"very highly tolerant")))))),IF(AND(ISNUMBER(D9),(OR(ISTEXT(F9),ISBLANK(F9)))),IF(AND(D9&gt;=0,D9&lt;0.65),"sensitive",IF(AND(D9&gt;=0.65,D9&lt;1.3),"moderately sensitive",IF(AND(D9&gt;=1.3,D9&lt;2.9),"moderately tolerant",IF(AND(D9&gt;=2.9,D9&lt;5.2),"tolerant",IF(AND(D9&gt;=5.2,D9&lt;8.1),"very tolerant",IF(D9&gt;=8.1,"very highly tolerant",""))))))))</f>
        <v>moderately tolerant</v>
      </c>
    </row>
    <row r="10" spans="1:9">
      <c r="B10" s="376" t="s">
        <v>174</v>
      </c>
      <c r="C10" s="374" t="s">
        <v>175</v>
      </c>
      <c r="D10" s="375">
        <v>7.7</v>
      </c>
      <c r="E10" s="375">
        <v>5.2</v>
      </c>
      <c r="F10" s="375">
        <v>9.6</v>
      </c>
      <c r="G10" s="375">
        <v>12.5</v>
      </c>
      <c r="H10" s="375">
        <v>17.3</v>
      </c>
      <c r="I10" s="377" t="str">
        <f t="shared" si="0"/>
        <v>very highly tolerant</v>
      </c>
    </row>
    <row r="11" spans="1:9">
      <c r="B11" s="376" t="s">
        <v>176</v>
      </c>
      <c r="C11" s="374" t="s">
        <v>177</v>
      </c>
      <c r="D11" s="375">
        <v>1.6</v>
      </c>
      <c r="E11" s="375">
        <v>9</v>
      </c>
      <c r="F11" s="375">
        <v>2.7</v>
      </c>
      <c r="G11" s="375">
        <v>4.4000000000000004</v>
      </c>
      <c r="H11" s="375">
        <v>7.2</v>
      </c>
      <c r="I11" s="377" t="str">
        <f t="shared" si="0"/>
        <v>moderately tolerant</v>
      </c>
    </row>
    <row r="12" spans="1:9">
      <c r="B12" s="376" t="s">
        <v>178</v>
      </c>
      <c r="C12" s="374" t="s">
        <v>179</v>
      </c>
      <c r="D12" s="375">
        <v>2</v>
      </c>
      <c r="E12" s="375">
        <v>10.8</v>
      </c>
      <c r="F12" s="375">
        <v>2.9</v>
      </c>
      <c r="G12" s="375">
        <v>4.3</v>
      </c>
      <c r="H12" s="375">
        <v>6.6</v>
      </c>
      <c r="I12" s="377" t="str">
        <f t="shared" si="0"/>
        <v>tolerant</v>
      </c>
    </row>
    <row r="13" spans="1:9">
      <c r="B13" s="376" t="s">
        <v>180</v>
      </c>
      <c r="C13" s="374" t="s">
        <v>181</v>
      </c>
      <c r="D13" s="375">
        <v>1.7</v>
      </c>
      <c r="E13" s="375">
        <v>12</v>
      </c>
      <c r="F13" s="375">
        <v>2.5</v>
      </c>
      <c r="G13" s="375">
        <v>3.8</v>
      </c>
      <c r="H13" s="375">
        <v>5.9</v>
      </c>
      <c r="I13" s="377" t="str">
        <f t="shared" si="0"/>
        <v>moderately tolerant</v>
      </c>
    </row>
    <row r="14" spans="1:9">
      <c r="B14" s="376" t="s">
        <v>182</v>
      </c>
      <c r="C14" s="374" t="s">
        <v>183</v>
      </c>
      <c r="D14" s="375">
        <v>5</v>
      </c>
      <c r="E14" s="375">
        <v>20</v>
      </c>
      <c r="F14" s="375">
        <v>5.5</v>
      </c>
      <c r="G14" s="375">
        <v>6.3</v>
      </c>
      <c r="H14" s="375">
        <v>7.5</v>
      </c>
      <c r="I14" s="377" t="str">
        <f t="shared" si="0"/>
        <v>very tolerant</v>
      </c>
    </row>
    <row r="15" spans="1:9">
      <c r="B15" s="376" t="s">
        <v>184</v>
      </c>
      <c r="C15" s="374" t="s">
        <v>185</v>
      </c>
      <c r="D15" s="375">
        <v>3.2</v>
      </c>
      <c r="E15" s="375">
        <v>29.4</v>
      </c>
      <c r="F15" s="375">
        <v>3.5</v>
      </c>
      <c r="G15" s="375">
        <v>4.0999999999999996</v>
      </c>
      <c r="H15" s="375">
        <v>4.9000000000000004</v>
      </c>
      <c r="I15" s="377" t="str">
        <f t="shared" si="0"/>
        <v>tolerant</v>
      </c>
    </row>
    <row r="16" spans="1:9">
      <c r="B16" s="376" t="s">
        <v>186</v>
      </c>
      <c r="C16" s="374" t="s">
        <v>187</v>
      </c>
      <c r="D16" s="375">
        <v>0.8</v>
      </c>
      <c r="E16" s="375">
        <v>7.9</v>
      </c>
      <c r="F16" s="375">
        <v>2.1</v>
      </c>
      <c r="G16" s="375">
        <v>4</v>
      </c>
      <c r="H16" s="375">
        <v>7.1</v>
      </c>
      <c r="I16" s="377" t="str">
        <f t="shared" si="0"/>
        <v>moderately tolerant</v>
      </c>
    </row>
    <row r="17" spans="2:9">
      <c r="B17" s="376" t="s">
        <v>188</v>
      </c>
      <c r="C17" s="374" t="s">
        <v>189</v>
      </c>
      <c r="D17" s="375">
        <v>3</v>
      </c>
      <c r="E17" s="375">
        <v>12.2</v>
      </c>
      <c r="F17" s="375">
        <v>3.8</v>
      </c>
      <c r="G17" s="375">
        <v>5.0999999999999996</v>
      </c>
      <c r="H17" s="375">
        <v>7.1</v>
      </c>
      <c r="I17" s="377" t="str">
        <f t="shared" si="0"/>
        <v>tolerant</v>
      </c>
    </row>
    <row r="18" spans="2:9">
      <c r="B18" s="376" t="s">
        <v>190</v>
      </c>
      <c r="C18" s="374" t="s">
        <v>191</v>
      </c>
      <c r="D18" s="375">
        <v>6.5</v>
      </c>
      <c r="E18" s="375" t="s">
        <v>1</v>
      </c>
      <c r="F18" s="375" t="s">
        <v>1</v>
      </c>
      <c r="G18" s="375" t="s">
        <v>1</v>
      </c>
      <c r="H18" s="375" t="s">
        <v>1</v>
      </c>
      <c r="I18" s="377" t="str">
        <f t="shared" si="0"/>
        <v>very tolerant</v>
      </c>
    </row>
    <row r="19" spans="2:9">
      <c r="B19" s="376" t="s">
        <v>192</v>
      </c>
      <c r="C19" s="374" t="s">
        <v>193</v>
      </c>
      <c r="D19" s="375">
        <v>6.8</v>
      </c>
      <c r="E19" s="375">
        <v>15.9</v>
      </c>
      <c r="F19" s="375">
        <v>7.4</v>
      </c>
      <c r="G19" s="375">
        <v>8.4</v>
      </c>
      <c r="H19" s="375">
        <v>9.9</v>
      </c>
      <c r="I19" s="377" t="str">
        <f t="shared" si="0"/>
        <v>very tolerant</v>
      </c>
    </row>
    <row r="20" spans="2:9">
      <c r="B20" s="376" t="s">
        <v>194</v>
      </c>
      <c r="C20" s="374" t="s">
        <v>195</v>
      </c>
      <c r="D20" s="375">
        <v>8.3000000000000007</v>
      </c>
      <c r="E20" s="375">
        <v>11.2</v>
      </c>
      <c r="F20" s="375">
        <v>9.1999999999999993</v>
      </c>
      <c r="G20" s="375">
        <v>10.5</v>
      </c>
      <c r="H20" s="375">
        <v>12.8</v>
      </c>
      <c r="I20" s="377" t="str">
        <f t="shared" si="0"/>
        <v>very highly tolerant</v>
      </c>
    </row>
    <row r="21" spans="2:9">
      <c r="B21" s="376" t="s">
        <v>196</v>
      </c>
      <c r="C21" s="374" t="s">
        <v>197</v>
      </c>
      <c r="D21" s="375">
        <v>5</v>
      </c>
      <c r="E21" s="375">
        <v>20</v>
      </c>
      <c r="F21" s="375">
        <v>5.5</v>
      </c>
      <c r="G21" s="375">
        <v>6.3</v>
      </c>
      <c r="H21" s="375">
        <v>7.5</v>
      </c>
      <c r="I21" s="377" t="str">
        <f t="shared" si="0"/>
        <v>very tolerant</v>
      </c>
    </row>
    <row r="22" spans="2:9">
      <c r="B22" s="376" t="s">
        <v>198</v>
      </c>
      <c r="C22" s="374" t="s">
        <v>199</v>
      </c>
      <c r="D22" s="375">
        <v>1.7</v>
      </c>
      <c r="E22" s="375">
        <v>5.9</v>
      </c>
      <c r="F22" s="375">
        <v>3.4</v>
      </c>
      <c r="G22" s="375">
        <v>5.9</v>
      </c>
      <c r="H22" s="375">
        <v>10.199999999999999</v>
      </c>
      <c r="I22" s="377" t="str">
        <f t="shared" si="0"/>
        <v>tolerant</v>
      </c>
    </row>
    <row r="23" spans="2:9">
      <c r="B23" s="376" t="s">
        <v>1086</v>
      </c>
      <c r="C23" s="374" t="s">
        <v>199</v>
      </c>
      <c r="D23" s="375">
        <v>1</v>
      </c>
      <c r="E23" s="375">
        <v>6.7</v>
      </c>
      <c r="F23" s="375"/>
      <c r="G23" s="375"/>
      <c r="H23" s="375"/>
      <c r="I23" s="377" t="str">
        <f t="shared" si="0"/>
        <v>moderately sensitive</v>
      </c>
    </row>
    <row r="24" spans="2:9">
      <c r="B24" s="376" t="s">
        <v>1087</v>
      </c>
      <c r="C24" s="374" t="s">
        <v>199</v>
      </c>
      <c r="D24" s="375">
        <v>1</v>
      </c>
      <c r="E24" s="375">
        <v>10.6</v>
      </c>
      <c r="F24" s="375"/>
      <c r="G24" s="375"/>
      <c r="H24" s="375"/>
      <c r="I24" s="377" t="str">
        <f t="shared" si="0"/>
        <v>moderately sensitive</v>
      </c>
    </row>
    <row r="25" spans="2:9">
      <c r="B25" s="376" t="s">
        <v>1088</v>
      </c>
      <c r="C25" s="374" t="s">
        <v>199</v>
      </c>
      <c r="D25" s="375">
        <v>2</v>
      </c>
      <c r="E25" s="375">
        <v>6.7</v>
      </c>
      <c r="F25" s="375"/>
      <c r="G25" s="375"/>
      <c r="H25" s="375"/>
      <c r="I25" s="377" t="str">
        <f t="shared" si="0"/>
        <v>moderately tolerant</v>
      </c>
    </row>
    <row r="26" spans="2:9">
      <c r="B26" s="376" t="s">
        <v>1089</v>
      </c>
      <c r="C26" s="374" t="s">
        <v>199</v>
      </c>
      <c r="D26" s="375">
        <v>2</v>
      </c>
      <c r="E26" s="375">
        <v>10.6</v>
      </c>
      <c r="F26" s="375"/>
      <c r="G26" s="375"/>
      <c r="H26" s="375"/>
      <c r="I26" s="377" t="str">
        <f t="shared" si="0"/>
        <v>moderately tolerant</v>
      </c>
    </row>
    <row r="27" spans="2:9">
      <c r="B27" s="376" t="s">
        <v>200</v>
      </c>
      <c r="C27" s="374" t="s">
        <v>201</v>
      </c>
      <c r="D27" s="375">
        <v>5.5</v>
      </c>
      <c r="E27" s="375">
        <v>25</v>
      </c>
      <c r="F27" s="375">
        <v>5.9</v>
      </c>
      <c r="G27" s="375">
        <v>6.5</v>
      </c>
      <c r="H27" s="375">
        <v>7.5</v>
      </c>
      <c r="I27" s="377" t="str">
        <f t="shared" si="0"/>
        <v>very tolerant</v>
      </c>
    </row>
    <row r="28" spans="2:9">
      <c r="B28" s="376" t="s">
        <v>202</v>
      </c>
      <c r="C28" s="374" t="s">
        <v>203</v>
      </c>
      <c r="D28" s="375">
        <v>6</v>
      </c>
      <c r="E28" s="375">
        <v>7.1</v>
      </c>
      <c r="F28" s="375">
        <v>7.4</v>
      </c>
      <c r="G28" s="375">
        <v>9.5</v>
      </c>
      <c r="H28" s="375">
        <v>13</v>
      </c>
      <c r="I28" s="377" t="str">
        <f t="shared" si="0"/>
        <v>very tolerant</v>
      </c>
    </row>
    <row r="29" spans="2:9">
      <c r="B29" s="376" t="s">
        <v>204</v>
      </c>
      <c r="C29" s="374" t="s">
        <v>205</v>
      </c>
      <c r="D29" s="375">
        <v>5.7</v>
      </c>
      <c r="E29" s="375">
        <v>5.4</v>
      </c>
      <c r="F29" s="375">
        <v>7.6</v>
      </c>
      <c r="G29" s="375">
        <v>10.3</v>
      </c>
      <c r="H29" s="375">
        <v>15</v>
      </c>
      <c r="I29" s="377" t="str">
        <f t="shared" si="0"/>
        <v>very tolerant</v>
      </c>
    </row>
    <row r="30" spans="2:9" ht="15.5">
      <c r="B30" s="369" t="s">
        <v>206</v>
      </c>
      <c r="C30" s="45"/>
      <c r="D30" s="371"/>
      <c r="E30" s="371"/>
      <c r="F30" s="371"/>
      <c r="G30" s="371"/>
      <c r="H30" s="371"/>
      <c r="I30" s="368"/>
    </row>
    <row r="31" spans="2:9">
      <c r="B31" s="376" t="s">
        <v>207</v>
      </c>
      <c r="C31" s="374" t="s">
        <v>208</v>
      </c>
      <c r="D31" s="375">
        <v>1.5</v>
      </c>
      <c r="E31" s="375">
        <v>18</v>
      </c>
      <c r="F31" s="375">
        <v>2.1</v>
      </c>
      <c r="G31" s="375">
        <v>2.9</v>
      </c>
      <c r="H31" s="375">
        <v>4.3</v>
      </c>
      <c r="I31" s="377" t="str">
        <f>IF(ISNUMBER(F31),IF(AND(F31&gt;=0,F31&lt;0.65),"sensitive",IF(AND(F31&gt;=0.65,F31&lt;1.3),"moderately sensitive",IF(AND(F31&gt;=1.3,F31&lt;2.9),"moderately tolerant",IF(AND(F31&gt;=2.9,F31&lt;5.2),"tolerant",IF(AND(F31&gt;=5.2,F31&lt;8.1),"very tolerant",IF(F31&gt;=8.1,"very highly tolerant")))))),IF(AND(ISNUMBER(D31),(OR(ISTEXT(F31),ISBLANK(F31)))),IF(AND(D31&gt;=0,D31&lt;0.65),"sensitive",IF(AND(D31&gt;=0.65,D31&lt;1.3),"moderately sensitive",IF(AND(D31&gt;=1.3,D31&lt;2.9),"moderately tolerant",IF(AND(D31&gt;=2.9,D31&lt;5.2),"tolerant",IF(AND(D31&gt;=5.2,D31&lt;8.1),"very tolerant",IF(D31&gt;=8.1,"very highly tolerant",""))))))))</f>
        <v>moderately tolerant</v>
      </c>
    </row>
    <row r="32" spans="2:9">
      <c r="B32" s="376" t="s">
        <v>209</v>
      </c>
      <c r="C32" s="374" t="s">
        <v>210</v>
      </c>
      <c r="D32" s="375">
        <v>1</v>
      </c>
      <c r="E32" s="375">
        <v>18</v>
      </c>
      <c r="F32" s="375">
        <v>1.6</v>
      </c>
      <c r="G32" s="375">
        <v>2.4</v>
      </c>
      <c r="H32" s="375">
        <v>3.8</v>
      </c>
      <c r="I32" s="377" t="str">
        <f t="shared" si="0"/>
        <v>moderately tolerant</v>
      </c>
    </row>
    <row r="33" spans="2:9">
      <c r="B33" s="376" t="s">
        <v>211</v>
      </c>
      <c r="C33" s="374" t="s">
        <v>212</v>
      </c>
      <c r="D33" s="375">
        <v>1.6</v>
      </c>
      <c r="E33" s="375">
        <v>23</v>
      </c>
      <c r="F33" s="375">
        <v>2</v>
      </c>
      <c r="G33" s="375">
        <v>2.7</v>
      </c>
      <c r="H33" s="375">
        <v>3.8</v>
      </c>
      <c r="I33" s="377" t="str">
        <f t="shared" si="0"/>
        <v>moderately tolerant</v>
      </c>
    </row>
    <row r="34" spans="2:9">
      <c r="B34" s="376" t="s">
        <v>213</v>
      </c>
      <c r="C34" s="374" t="s">
        <v>214</v>
      </c>
      <c r="D34" s="375">
        <v>1.3</v>
      </c>
      <c r="E34" s="375">
        <v>21</v>
      </c>
      <c r="F34" s="375">
        <v>1.8</v>
      </c>
      <c r="G34" s="375">
        <v>2.5</v>
      </c>
      <c r="H34" s="375">
        <v>3.7</v>
      </c>
      <c r="I34" s="377" t="str">
        <f t="shared" si="0"/>
        <v>moderately tolerant</v>
      </c>
    </row>
    <row r="35" spans="2:9">
      <c r="B35" s="376" t="s">
        <v>215</v>
      </c>
      <c r="C35" s="374" t="s">
        <v>216</v>
      </c>
      <c r="D35" s="375">
        <v>1.5</v>
      </c>
      <c r="E35" s="375">
        <v>22.2</v>
      </c>
      <c r="F35" s="375">
        <v>2</v>
      </c>
      <c r="G35" s="375">
        <v>2.6</v>
      </c>
      <c r="H35" s="375">
        <v>3.8</v>
      </c>
      <c r="I35" s="377" t="str">
        <f t="shared" si="0"/>
        <v>moderately tolerant</v>
      </c>
    </row>
    <row r="36" spans="2:9">
      <c r="B36" s="376" t="s">
        <v>217</v>
      </c>
      <c r="C36" s="374" t="s">
        <v>218</v>
      </c>
      <c r="D36" s="375">
        <v>1.5</v>
      </c>
      <c r="E36" s="375">
        <v>22.2</v>
      </c>
      <c r="F36" s="375">
        <v>2</v>
      </c>
      <c r="G36" s="375">
        <v>2.6</v>
      </c>
      <c r="H36" s="375">
        <v>3.8</v>
      </c>
      <c r="I36" s="377" t="str">
        <f t="shared" si="0"/>
        <v>moderately tolerant</v>
      </c>
    </row>
    <row r="37" spans="2:9">
      <c r="B37" s="376" t="s">
        <v>219</v>
      </c>
      <c r="C37" s="374" t="s">
        <v>220</v>
      </c>
      <c r="D37" s="375">
        <v>4</v>
      </c>
      <c r="E37" s="375">
        <v>3.4</v>
      </c>
      <c r="F37" s="375">
        <v>6.9</v>
      </c>
      <c r="G37" s="375">
        <v>11.4</v>
      </c>
      <c r="H37" s="375">
        <v>18.7</v>
      </c>
      <c r="I37" s="377" t="str">
        <f t="shared" si="0"/>
        <v>very tolerant</v>
      </c>
    </row>
    <row r="38" spans="2:9">
      <c r="B38" s="376" t="s">
        <v>221</v>
      </c>
      <c r="C38" s="374" t="s">
        <v>222</v>
      </c>
      <c r="D38" s="375">
        <v>4.2</v>
      </c>
      <c r="E38" s="375" t="s">
        <v>1</v>
      </c>
      <c r="F38" s="375" t="s">
        <v>1</v>
      </c>
      <c r="G38" s="375" t="s">
        <v>1</v>
      </c>
      <c r="H38" s="375" t="s">
        <v>1</v>
      </c>
      <c r="I38" s="377" t="str">
        <f t="shared" si="0"/>
        <v>tolerant</v>
      </c>
    </row>
    <row r="39" spans="2:9">
      <c r="B39" s="376" t="s">
        <v>223</v>
      </c>
      <c r="C39" s="374" t="s">
        <v>224</v>
      </c>
      <c r="D39" s="375">
        <v>1.5</v>
      </c>
      <c r="E39" s="375">
        <v>9.5</v>
      </c>
      <c r="F39" s="375">
        <v>2.6</v>
      </c>
      <c r="G39" s="375">
        <v>4.0999999999999996</v>
      </c>
      <c r="H39" s="375">
        <v>6.8</v>
      </c>
      <c r="I39" s="377" t="str">
        <f t="shared" si="0"/>
        <v>moderately tolerant</v>
      </c>
    </row>
    <row r="40" spans="2:9">
      <c r="B40" s="376" t="s">
        <v>225</v>
      </c>
      <c r="C40" s="374" t="s">
        <v>226</v>
      </c>
      <c r="D40" s="375">
        <v>1.8</v>
      </c>
      <c r="E40" s="375">
        <v>16.100000000000001</v>
      </c>
      <c r="F40" s="375">
        <v>2.4</v>
      </c>
      <c r="G40" s="375">
        <v>3.4</v>
      </c>
      <c r="H40" s="375">
        <v>4.9000000000000004</v>
      </c>
      <c r="I40" s="377" t="str">
        <f t="shared" si="0"/>
        <v>moderately tolerant</v>
      </c>
    </row>
    <row r="41" spans="2:9">
      <c r="B41" s="376" t="s">
        <v>227</v>
      </c>
      <c r="C41" s="374" t="s">
        <v>228</v>
      </c>
      <c r="D41" s="375">
        <v>1.2</v>
      </c>
      <c r="E41" s="375" t="s">
        <v>1</v>
      </c>
      <c r="F41" s="375" t="s">
        <v>1</v>
      </c>
      <c r="G41" s="375" t="s">
        <v>1</v>
      </c>
      <c r="H41" s="375" t="s">
        <v>1</v>
      </c>
      <c r="I41" s="377" t="str">
        <f t="shared" si="0"/>
        <v>moderately sensitive</v>
      </c>
    </row>
    <row r="42" spans="2:9">
      <c r="B42" s="376" t="s">
        <v>229</v>
      </c>
      <c r="C42" s="374" t="s">
        <v>230</v>
      </c>
      <c r="D42" s="375">
        <v>1</v>
      </c>
      <c r="E42" s="375" t="s">
        <v>1</v>
      </c>
      <c r="F42" s="375" t="s">
        <v>1</v>
      </c>
      <c r="G42" s="375" t="s">
        <v>1</v>
      </c>
      <c r="H42" s="375" t="s">
        <v>1</v>
      </c>
      <c r="I42" s="377" t="str">
        <f t="shared" si="0"/>
        <v>moderately sensitive</v>
      </c>
    </row>
    <row r="43" spans="2:9">
      <c r="B43" s="376" t="s">
        <v>231</v>
      </c>
      <c r="C43" s="374" t="s">
        <v>232</v>
      </c>
      <c r="D43" s="375">
        <v>6</v>
      </c>
      <c r="E43" s="375" t="s">
        <v>1</v>
      </c>
      <c r="F43" s="375" t="s">
        <v>1</v>
      </c>
      <c r="G43" s="375" t="s">
        <v>1</v>
      </c>
      <c r="H43" s="375" t="s">
        <v>1</v>
      </c>
      <c r="I43" s="377" t="str">
        <f t="shared" si="0"/>
        <v>very tolerant</v>
      </c>
    </row>
    <row r="44" spans="2:9">
      <c r="B44" s="376" t="s">
        <v>233</v>
      </c>
      <c r="C44" s="374" t="s">
        <v>234</v>
      </c>
      <c r="D44" s="375">
        <v>4</v>
      </c>
      <c r="E44" s="375" t="s">
        <v>1</v>
      </c>
      <c r="F44" s="375" t="s">
        <v>1</v>
      </c>
      <c r="G44" s="375" t="s">
        <v>1</v>
      </c>
      <c r="H44" s="375" t="s">
        <v>1</v>
      </c>
      <c r="I44" s="377" t="str">
        <f t="shared" si="0"/>
        <v>tolerant</v>
      </c>
    </row>
    <row r="45" spans="2:9">
      <c r="B45" s="376" t="s">
        <v>235</v>
      </c>
      <c r="C45" s="374" t="s">
        <v>236</v>
      </c>
      <c r="D45" s="375">
        <v>1.7</v>
      </c>
      <c r="E45" s="375">
        <v>15.9</v>
      </c>
      <c r="F45" s="375">
        <v>2.2999999999999998</v>
      </c>
      <c r="G45" s="375">
        <v>3.3</v>
      </c>
      <c r="H45" s="375">
        <v>4.8</v>
      </c>
      <c r="I45" s="377" t="str">
        <f t="shared" si="0"/>
        <v>moderately tolerant</v>
      </c>
    </row>
    <row r="46" spans="2:9">
      <c r="B46" s="376" t="s">
        <v>237</v>
      </c>
      <c r="C46" s="374" t="s">
        <v>238</v>
      </c>
      <c r="D46" s="375">
        <v>3.2</v>
      </c>
      <c r="E46" s="375">
        <v>18.8</v>
      </c>
      <c r="F46" s="375">
        <v>3.7</v>
      </c>
      <c r="G46" s="375">
        <v>4.5</v>
      </c>
      <c r="H46" s="375">
        <v>5.9</v>
      </c>
      <c r="I46" s="377" t="str">
        <f t="shared" si="0"/>
        <v>tolerant</v>
      </c>
    </row>
    <row r="47" spans="2:9">
      <c r="B47" s="376" t="s">
        <v>239</v>
      </c>
      <c r="C47" s="374" t="s">
        <v>240</v>
      </c>
      <c r="D47" s="375">
        <v>1</v>
      </c>
      <c r="E47" s="375" t="s">
        <v>1</v>
      </c>
      <c r="F47" s="375" t="s">
        <v>1</v>
      </c>
      <c r="G47" s="375" t="s">
        <v>1</v>
      </c>
      <c r="H47" s="375" t="s">
        <v>1</v>
      </c>
      <c r="I47" s="377" t="str">
        <f t="shared" si="0"/>
        <v>moderately sensitive</v>
      </c>
    </row>
    <row r="48" spans="2:9">
      <c r="B48" s="376" t="s">
        <v>241</v>
      </c>
      <c r="C48" s="374" t="s">
        <v>243</v>
      </c>
      <c r="D48" s="375">
        <v>1.5</v>
      </c>
      <c r="E48" s="375">
        <v>18.2</v>
      </c>
      <c r="F48" s="375">
        <v>2</v>
      </c>
      <c r="G48" s="375">
        <v>2.9</v>
      </c>
      <c r="H48" s="375">
        <v>4.2</v>
      </c>
      <c r="I48" s="377" t="str">
        <f t="shared" si="0"/>
        <v>moderately tolerant</v>
      </c>
    </row>
    <row r="49" spans="2:9">
      <c r="B49" s="376" t="s">
        <v>242</v>
      </c>
      <c r="C49" s="374" t="s">
        <v>243</v>
      </c>
      <c r="D49" s="375">
        <v>1</v>
      </c>
      <c r="E49" s="375">
        <v>18.2</v>
      </c>
      <c r="F49" s="375">
        <v>2</v>
      </c>
      <c r="G49" s="375">
        <v>2.9</v>
      </c>
      <c r="H49" s="375">
        <v>4.2</v>
      </c>
      <c r="I49" s="377" t="str">
        <f t="shared" si="0"/>
        <v>moderately tolerant</v>
      </c>
    </row>
    <row r="50" spans="2:9" ht="26.25" customHeight="1">
      <c r="B50" s="376" t="s">
        <v>244</v>
      </c>
      <c r="C50" s="374" t="s">
        <v>245</v>
      </c>
      <c r="D50" s="375">
        <v>4</v>
      </c>
      <c r="E50" s="375" t="s">
        <v>1</v>
      </c>
      <c r="F50" s="375" t="s">
        <v>1</v>
      </c>
      <c r="G50" s="375" t="s">
        <v>1</v>
      </c>
      <c r="H50" s="375" t="s">
        <v>1</v>
      </c>
      <c r="I50" s="377" t="str">
        <f t="shared" si="0"/>
        <v>tolerant</v>
      </c>
    </row>
    <row r="51" spans="2:9">
      <c r="B51" s="376" t="s">
        <v>246</v>
      </c>
      <c r="C51" s="374" t="s">
        <v>247</v>
      </c>
      <c r="D51" s="375">
        <v>1</v>
      </c>
      <c r="E51" s="375" t="s">
        <v>1</v>
      </c>
      <c r="F51" s="375" t="s">
        <v>1</v>
      </c>
      <c r="G51" s="375" t="s">
        <v>1</v>
      </c>
      <c r="H51" s="375" t="s">
        <v>1</v>
      </c>
      <c r="I51" s="377" t="str">
        <f t="shared" si="0"/>
        <v>moderately sensitive</v>
      </c>
    </row>
    <row r="52" spans="2:9">
      <c r="B52" s="376" t="s">
        <v>248</v>
      </c>
      <c r="C52" s="374" t="s">
        <v>249</v>
      </c>
      <c r="D52" s="375">
        <v>2.2000000000000002</v>
      </c>
      <c r="E52" s="375">
        <v>7.3</v>
      </c>
      <c r="F52" s="375">
        <v>3.6</v>
      </c>
      <c r="G52" s="375">
        <v>5.6</v>
      </c>
      <c r="H52" s="375">
        <v>9</v>
      </c>
      <c r="I52" s="377" t="str">
        <f t="shared" si="0"/>
        <v>tolerant</v>
      </c>
    </row>
    <row r="53" spans="2:9">
      <c r="B53" s="376" t="s">
        <v>250</v>
      </c>
      <c r="C53" s="374" t="s">
        <v>251</v>
      </c>
      <c r="D53" s="375">
        <v>1</v>
      </c>
      <c r="E53" s="375">
        <v>33.299999999999997</v>
      </c>
      <c r="F53" s="375">
        <v>1.3</v>
      </c>
      <c r="G53" s="375">
        <v>1.8</v>
      </c>
      <c r="H53" s="375">
        <v>2.5</v>
      </c>
      <c r="I53" s="377" t="str">
        <f t="shared" si="0"/>
        <v>moderately tolerant</v>
      </c>
    </row>
    <row r="54" spans="2:9" ht="15.5">
      <c r="B54" s="369" t="s">
        <v>252</v>
      </c>
      <c r="C54" s="45"/>
      <c r="D54" s="371"/>
      <c r="E54" s="371"/>
      <c r="F54" s="371"/>
      <c r="G54" s="371"/>
      <c r="H54" s="371"/>
      <c r="I54" s="368"/>
    </row>
    <row r="55" spans="2:9">
      <c r="B55" s="376" t="s">
        <v>253</v>
      </c>
      <c r="C55" s="374" t="s">
        <v>254</v>
      </c>
      <c r="D55" s="375">
        <v>4</v>
      </c>
      <c r="E55" s="375">
        <v>9</v>
      </c>
      <c r="F55" s="375">
        <v>5.0999999999999996</v>
      </c>
      <c r="G55" s="375">
        <v>6.8</v>
      </c>
      <c r="H55" s="375">
        <v>9.6</v>
      </c>
      <c r="I55" s="377" t="str">
        <f t="shared" si="0"/>
        <v>tolerant</v>
      </c>
    </row>
    <row r="56" spans="2:9" ht="24" customHeight="1">
      <c r="B56" s="376" t="s">
        <v>255</v>
      </c>
      <c r="C56" s="374" t="s">
        <v>254</v>
      </c>
      <c r="D56" s="375">
        <v>7</v>
      </c>
      <c r="E56" s="375">
        <v>5.9</v>
      </c>
      <c r="F56" s="375">
        <v>8.6999999999999993</v>
      </c>
      <c r="G56" s="375">
        <v>11.2</v>
      </c>
      <c r="H56" s="375">
        <v>15.5</v>
      </c>
      <c r="I56" s="377" t="str">
        <f t="shared" si="0"/>
        <v>very highly tolerant</v>
      </c>
    </row>
    <row r="57" spans="2:9">
      <c r="B57" s="376" t="s">
        <v>256</v>
      </c>
      <c r="C57" s="374" t="s">
        <v>257</v>
      </c>
      <c r="D57" s="375">
        <v>1.2</v>
      </c>
      <c r="E57" s="375">
        <v>16.100000000000001</v>
      </c>
      <c r="F57" s="375">
        <v>1.8</v>
      </c>
      <c r="G57" s="375">
        <v>2.8</v>
      </c>
      <c r="H57" s="375">
        <v>4.3</v>
      </c>
      <c r="I57" s="377" t="str">
        <f t="shared" si="0"/>
        <v>moderately tolerant</v>
      </c>
    </row>
    <row r="58" spans="2:9">
      <c r="B58" s="376" t="s">
        <v>258</v>
      </c>
      <c r="C58" s="374" t="s">
        <v>259</v>
      </c>
      <c r="D58" s="375">
        <v>1.7</v>
      </c>
      <c r="E58" s="375">
        <v>12</v>
      </c>
      <c r="F58" s="375">
        <v>2.5</v>
      </c>
      <c r="G58" s="375">
        <v>3.8</v>
      </c>
      <c r="H58" s="375">
        <v>5.9</v>
      </c>
      <c r="I58" s="377" t="str">
        <f t="shared" si="0"/>
        <v>moderately tolerant</v>
      </c>
    </row>
    <row r="59" spans="2:9">
      <c r="B59" s="376" t="s">
        <v>260</v>
      </c>
      <c r="C59" s="374" t="s">
        <v>261</v>
      </c>
      <c r="D59" s="375">
        <v>1.5</v>
      </c>
      <c r="E59" s="375">
        <v>11</v>
      </c>
      <c r="F59" s="375">
        <v>2.4</v>
      </c>
      <c r="G59" s="375">
        <v>3.8</v>
      </c>
      <c r="H59" s="375">
        <v>6</v>
      </c>
      <c r="I59" s="377" t="str">
        <f t="shared" si="0"/>
        <v>moderately tolerant</v>
      </c>
    </row>
    <row r="60" spans="2:9" ht="15.5">
      <c r="B60" s="369" t="s">
        <v>262</v>
      </c>
      <c r="C60" s="45"/>
      <c r="D60" s="371"/>
      <c r="E60" s="371"/>
      <c r="F60" s="371"/>
      <c r="G60" s="371"/>
      <c r="H60" s="371"/>
      <c r="I60" s="368"/>
    </row>
    <row r="61" spans="2:9">
      <c r="B61" s="376" t="s">
        <v>263</v>
      </c>
      <c r="C61" s="374" t="s">
        <v>264</v>
      </c>
      <c r="D61" s="375">
        <v>2</v>
      </c>
      <c r="E61" s="375" t="s">
        <v>1</v>
      </c>
      <c r="F61" s="375" t="s">
        <v>1</v>
      </c>
      <c r="G61" s="375" t="s">
        <v>1</v>
      </c>
      <c r="H61" s="375" t="s">
        <v>1</v>
      </c>
      <c r="I61" s="377" t="str">
        <f t="shared" si="0"/>
        <v>moderately tolerant</v>
      </c>
    </row>
    <row r="62" spans="2:9">
      <c r="B62" s="376" t="s">
        <v>265</v>
      </c>
      <c r="C62" s="374" t="s">
        <v>266</v>
      </c>
      <c r="D62" s="375">
        <v>1</v>
      </c>
      <c r="E62" s="375" t="s">
        <v>1</v>
      </c>
      <c r="F62" s="375" t="s">
        <v>1</v>
      </c>
      <c r="G62" s="375" t="s">
        <v>1</v>
      </c>
      <c r="H62" s="375" t="s">
        <v>1</v>
      </c>
      <c r="I62" s="377" t="str">
        <f t="shared" si="0"/>
        <v>moderately sensitive</v>
      </c>
    </row>
    <row r="63" spans="2:9">
      <c r="B63" s="376" t="s">
        <v>267</v>
      </c>
      <c r="C63" s="374" t="s">
        <v>268</v>
      </c>
      <c r="D63" s="375">
        <v>1.5</v>
      </c>
      <c r="E63" s="375">
        <v>3.2</v>
      </c>
      <c r="F63" s="375">
        <v>4.5999999999999996</v>
      </c>
      <c r="G63" s="375">
        <v>9.3000000000000007</v>
      </c>
      <c r="H63" s="375">
        <v>17.100000000000001</v>
      </c>
      <c r="I63" s="377" t="str">
        <f t="shared" si="0"/>
        <v>tolerant</v>
      </c>
    </row>
    <row r="64" spans="2:9">
      <c r="B64" s="376" t="s">
        <v>269</v>
      </c>
      <c r="C64" s="374" t="s">
        <v>270</v>
      </c>
      <c r="D64" s="375">
        <v>1.5</v>
      </c>
      <c r="E64" s="375" t="s">
        <v>1</v>
      </c>
      <c r="F64" s="375" t="s">
        <v>1</v>
      </c>
      <c r="G64" s="375" t="s">
        <v>1</v>
      </c>
      <c r="H64" s="375" t="s">
        <v>1</v>
      </c>
      <c r="I64" s="377" t="str">
        <f t="shared" si="0"/>
        <v>moderately tolerant</v>
      </c>
    </row>
    <row r="65" spans="2:9">
      <c r="B65" s="376" t="s">
        <v>271</v>
      </c>
      <c r="C65" s="374" t="s">
        <v>272</v>
      </c>
      <c r="D65" s="375">
        <v>8.5</v>
      </c>
      <c r="E65" s="375" t="s">
        <v>1</v>
      </c>
      <c r="F65" s="375" t="s">
        <v>1</v>
      </c>
      <c r="G65" s="375" t="s">
        <v>1</v>
      </c>
      <c r="H65" s="375" t="s">
        <v>1</v>
      </c>
      <c r="I65" s="377" t="str">
        <f t="shared" si="0"/>
        <v>very highly tolerant</v>
      </c>
    </row>
    <row r="66" spans="2:9">
      <c r="B66" s="376" t="s">
        <v>273</v>
      </c>
      <c r="C66" s="374" t="s">
        <v>274</v>
      </c>
      <c r="D66" s="375">
        <v>1.7</v>
      </c>
      <c r="E66" s="375">
        <v>10.8</v>
      </c>
      <c r="F66" s="375">
        <v>2.6</v>
      </c>
      <c r="G66" s="375">
        <v>4</v>
      </c>
      <c r="H66" s="375">
        <v>6.3</v>
      </c>
      <c r="I66" s="377" t="str">
        <f t="shared" si="0"/>
        <v>moderately tolerant</v>
      </c>
    </row>
    <row r="67" spans="2:9">
      <c r="B67" s="376" t="s">
        <v>275</v>
      </c>
      <c r="C67" s="374" t="s">
        <v>276</v>
      </c>
      <c r="D67" s="375">
        <v>1</v>
      </c>
      <c r="E67" s="375" t="s">
        <v>1</v>
      </c>
      <c r="F67" s="375" t="s">
        <v>1</v>
      </c>
      <c r="G67" s="375" t="s">
        <v>1</v>
      </c>
      <c r="H67" s="375" t="s">
        <v>1</v>
      </c>
      <c r="I67" s="377" t="str">
        <f t="shared" si="0"/>
        <v>moderately sensitive</v>
      </c>
    </row>
    <row r="68" spans="2:9">
      <c r="B68" s="376" t="s">
        <v>277</v>
      </c>
      <c r="C68" s="374" t="s">
        <v>278</v>
      </c>
      <c r="D68" s="375">
        <v>4</v>
      </c>
      <c r="E68" s="375">
        <v>9.1</v>
      </c>
      <c r="F68" s="375">
        <v>5.0999999999999996</v>
      </c>
      <c r="G68" s="375">
        <v>6.7</v>
      </c>
      <c r="H68" s="375">
        <v>9.5</v>
      </c>
      <c r="I68" s="377" t="str">
        <f t="shared" si="0"/>
        <v>tolerant</v>
      </c>
    </row>
    <row r="69" spans="2:9">
      <c r="B69" s="376" t="s">
        <v>279</v>
      </c>
      <c r="C69" s="374" t="s">
        <v>280</v>
      </c>
      <c r="D69" s="375">
        <v>7</v>
      </c>
      <c r="E69" s="375" t="s">
        <v>1</v>
      </c>
      <c r="F69" s="375" t="s">
        <v>1</v>
      </c>
      <c r="G69" s="375" t="s">
        <v>1</v>
      </c>
      <c r="H69" s="375" t="s">
        <v>1</v>
      </c>
      <c r="I69" s="377" t="str">
        <f t="shared" si="0"/>
        <v>very tolerant</v>
      </c>
    </row>
    <row r="70" spans="2:9">
      <c r="B70" s="376" t="s">
        <v>281</v>
      </c>
      <c r="C70" s="374" t="s">
        <v>282</v>
      </c>
      <c r="D70" s="375">
        <v>1</v>
      </c>
      <c r="E70" s="375" t="s">
        <v>1</v>
      </c>
      <c r="F70" s="375" t="s">
        <v>1</v>
      </c>
      <c r="G70" s="375" t="s">
        <v>1</v>
      </c>
      <c r="H70" s="375" t="s">
        <v>1</v>
      </c>
      <c r="I70" s="377" t="str">
        <f t="shared" si="0"/>
        <v>moderately sensitive</v>
      </c>
    </row>
    <row r="71" spans="2:9">
      <c r="B71" s="376" t="s">
        <v>283</v>
      </c>
      <c r="C71" s="374" t="s">
        <v>284</v>
      </c>
      <c r="D71" s="375">
        <v>1</v>
      </c>
      <c r="E71" s="375" t="s">
        <v>1</v>
      </c>
      <c r="F71" s="375" t="s">
        <v>1</v>
      </c>
      <c r="G71" s="375" t="s">
        <v>1</v>
      </c>
      <c r="H71" s="375" t="s">
        <v>1</v>
      </c>
      <c r="I71" s="377" t="str">
        <f t="shared" si="0"/>
        <v>moderately sensitive</v>
      </c>
    </row>
    <row r="72" spans="2:9">
      <c r="B72" s="376" t="s">
        <v>285</v>
      </c>
      <c r="C72" s="374" t="s">
        <v>286</v>
      </c>
      <c r="D72" s="375">
        <v>1.5</v>
      </c>
      <c r="E72" s="375">
        <v>9.5</v>
      </c>
      <c r="F72" s="375">
        <v>2.6</v>
      </c>
      <c r="G72" s="375">
        <v>4.0999999999999996</v>
      </c>
      <c r="H72" s="375">
        <v>6.8</v>
      </c>
      <c r="I72" s="377" t="str">
        <f t="shared" si="0"/>
        <v>moderately tolerant</v>
      </c>
    </row>
    <row r="73" spans="2:9">
      <c r="B73" s="376" t="s">
        <v>287</v>
      </c>
      <c r="C73" s="374" t="s">
        <v>288</v>
      </c>
      <c r="D73" s="375">
        <v>1.8</v>
      </c>
      <c r="E73" s="375" t="s">
        <v>1</v>
      </c>
      <c r="F73" s="375" t="s">
        <v>1</v>
      </c>
      <c r="G73" s="375" t="s">
        <v>1</v>
      </c>
      <c r="H73" s="375" t="s">
        <v>1</v>
      </c>
      <c r="I73" s="377" t="str">
        <f t="shared" si="0"/>
        <v>moderately tolerant</v>
      </c>
    </row>
    <row r="74" spans="2:9">
      <c r="B74" s="376" t="s">
        <v>289</v>
      </c>
      <c r="C74" s="374" t="s">
        <v>290</v>
      </c>
      <c r="D74" s="375">
        <v>2</v>
      </c>
      <c r="E74" s="375">
        <v>21</v>
      </c>
      <c r="F74" s="375">
        <v>2.5</v>
      </c>
      <c r="G74" s="375">
        <v>3.2</v>
      </c>
      <c r="H74" s="375">
        <v>4.4000000000000004</v>
      </c>
      <c r="I74" s="377" t="str">
        <f t="shared" si="0"/>
        <v>moderately tolerant</v>
      </c>
    </row>
    <row r="75" spans="2:9">
      <c r="B75" s="376" t="s">
        <v>291</v>
      </c>
      <c r="C75" s="374" t="s">
        <v>292</v>
      </c>
      <c r="D75" s="375">
        <v>1</v>
      </c>
      <c r="E75" s="375" t="s">
        <v>1</v>
      </c>
      <c r="F75" s="375" t="s">
        <v>1</v>
      </c>
      <c r="G75" s="375" t="s">
        <v>1</v>
      </c>
      <c r="H75" s="375" t="s">
        <v>1</v>
      </c>
      <c r="I75" s="377" t="str">
        <f t="shared" si="0"/>
        <v>moderately sensitive</v>
      </c>
    </row>
    <row r="76" spans="2:9">
      <c r="B76" s="376" t="s">
        <v>293</v>
      </c>
      <c r="C76" s="374" t="s">
        <v>294</v>
      </c>
      <c r="D76" s="375">
        <v>2</v>
      </c>
      <c r="E76" s="375">
        <v>9.1</v>
      </c>
      <c r="F76" s="375">
        <v>3.1</v>
      </c>
      <c r="G76" s="375">
        <v>4.7</v>
      </c>
      <c r="H76" s="375">
        <v>7.5</v>
      </c>
      <c r="I76" s="377" t="str">
        <f t="shared" ref="I76:I139" si="1">IF(ISNUMBER(F76),IF(AND(F76&gt;=0,F76&lt;0.65),"sensitive",IF(AND(F76&gt;=0.65,F76&lt;1.3),"moderately sensitive",IF(AND(F76&gt;=1.3,F76&lt;2.9),"moderately tolerant",IF(AND(F76&gt;=2.9,F76&lt;5.2),"tolerant",IF(AND(F76&gt;=5.2,F76&lt;8.1),"very tolerant",IF(F76&gt;=8.1,"very highly tolerant")))))),IF(AND(ISNUMBER(D76),(OR(ISTEXT(F76),ISBLANK(F76)))),IF(AND(D76&gt;=0,D76&lt;0.65),"sensitive",IF(AND(D76&gt;=0.65,D76&lt;1.3),"moderately sensitive",IF(AND(D76&gt;=1.3,D76&lt;2.9),"moderately tolerant",IF(AND(D76&gt;=2.9,D76&lt;5.2),"tolerant",IF(AND(D76&gt;=5.2,D76&lt;8.1),"very tolerant",IF(D76&gt;=8.1,"very highly tolerant",""))))))))</f>
        <v>tolerant</v>
      </c>
    </row>
    <row r="77" spans="2:9">
      <c r="B77" s="376" t="s">
        <v>295</v>
      </c>
      <c r="C77" s="374" t="s">
        <v>296</v>
      </c>
      <c r="D77" s="375">
        <v>2</v>
      </c>
      <c r="E77" s="375">
        <v>9.1</v>
      </c>
      <c r="F77" s="375">
        <v>3.1</v>
      </c>
      <c r="G77" s="375">
        <v>4.7</v>
      </c>
      <c r="H77" s="375">
        <v>7.5</v>
      </c>
      <c r="I77" s="377" t="str">
        <f t="shared" si="1"/>
        <v>tolerant</v>
      </c>
    </row>
    <row r="78" spans="2:9" ht="22.65" customHeight="1">
      <c r="B78" s="376" t="s">
        <v>297</v>
      </c>
      <c r="C78" s="374" t="s">
        <v>298</v>
      </c>
      <c r="D78" s="375">
        <v>1</v>
      </c>
      <c r="E78" s="375" t="s">
        <v>1</v>
      </c>
      <c r="F78" s="375" t="s">
        <v>1</v>
      </c>
      <c r="G78" s="375" t="s">
        <v>1</v>
      </c>
      <c r="H78" s="375" t="s">
        <v>1</v>
      </c>
      <c r="I78" s="377" t="str">
        <f t="shared" si="1"/>
        <v>moderately sensitive</v>
      </c>
    </row>
    <row r="79" spans="2:9">
      <c r="B79" s="376" t="s">
        <v>299</v>
      </c>
      <c r="C79" s="374" t="s">
        <v>300</v>
      </c>
      <c r="D79" s="375">
        <v>1.6</v>
      </c>
      <c r="E79" s="375" t="s">
        <v>1</v>
      </c>
      <c r="F79" s="375" t="s">
        <v>1</v>
      </c>
      <c r="G79" s="375" t="s">
        <v>1</v>
      </c>
      <c r="H79" s="375" t="s">
        <v>1</v>
      </c>
      <c r="I79" s="377" t="str">
        <f t="shared" si="1"/>
        <v>moderately tolerant</v>
      </c>
    </row>
    <row r="80" spans="2:9">
      <c r="B80" s="376" t="s">
        <v>301</v>
      </c>
      <c r="C80" s="374" t="s">
        <v>302</v>
      </c>
      <c r="D80" s="375">
        <v>1.4</v>
      </c>
      <c r="E80" s="375">
        <v>13.2</v>
      </c>
      <c r="F80" s="375">
        <v>2.2000000000000002</v>
      </c>
      <c r="G80" s="375">
        <v>3.3</v>
      </c>
      <c r="H80" s="375">
        <v>5.2</v>
      </c>
      <c r="I80" s="377" t="str">
        <f t="shared" si="1"/>
        <v>moderately tolerant</v>
      </c>
    </row>
    <row r="81" spans="2:9">
      <c r="B81" s="376" t="s">
        <v>303</v>
      </c>
      <c r="C81" s="374" t="s">
        <v>304</v>
      </c>
      <c r="D81" s="375">
        <v>1.5</v>
      </c>
      <c r="E81" s="375">
        <v>13.3</v>
      </c>
      <c r="F81" s="375">
        <v>2.2999999999999998</v>
      </c>
      <c r="G81" s="375">
        <v>3.4</v>
      </c>
      <c r="H81" s="375">
        <v>5.3</v>
      </c>
      <c r="I81" s="377" t="str">
        <f t="shared" si="1"/>
        <v>moderately tolerant</v>
      </c>
    </row>
    <row r="82" spans="2:9" ht="15.5">
      <c r="B82" s="369" t="s">
        <v>305</v>
      </c>
      <c r="C82" s="45"/>
      <c r="D82" s="371"/>
      <c r="E82" s="371"/>
      <c r="F82" s="371"/>
      <c r="G82" s="371"/>
      <c r="H82" s="371"/>
      <c r="I82" s="368"/>
    </row>
    <row r="83" spans="2:9">
      <c r="B83" s="376" t="s">
        <v>306</v>
      </c>
      <c r="C83" s="374" t="s">
        <v>162</v>
      </c>
      <c r="D83" s="375">
        <v>6</v>
      </c>
      <c r="E83" s="375">
        <v>7</v>
      </c>
      <c r="F83" s="375">
        <v>7.4</v>
      </c>
      <c r="G83" s="375">
        <v>9.6</v>
      </c>
      <c r="H83" s="375">
        <v>13.1</v>
      </c>
      <c r="I83" s="377" t="str">
        <f t="shared" si="1"/>
        <v>very tolerant</v>
      </c>
    </row>
    <row r="84" spans="2:9">
      <c r="B84" s="376" t="s">
        <v>307</v>
      </c>
      <c r="C84" s="374" t="s">
        <v>162</v>
      </c>
      <c r="D84" s="375">
        <v>6</v>
      </c>
      <c r="E84" s="375">
        <v>7.1</v>
      </c>
      <c r="F84" s="375">
        <v>7.4</v>
      </c>
      <c r="G84" s="375">
        <v>9.5</v>
      </c>
      <c r="H84" s="375">
        <v>13</v>
      </c>
      <c r="I84" s="377" t="str">
        <f t="shared" si="1"/>
        <v>very tolerant</v>
      </c>
    </row>
    <row r="85" spans="2:9">
      <c r="B85" s="376" t="s">
        <v>308</v>
      </c>
      <c r="C85" s="374" t="s">
        <v>309</v>
      </c>
      <c r="D85" s="375">
        <v>3</v>
      </c>
      <c r="E85" s="375">
        <v>14.6</v>
      </c>
      <c r="F85" s="375">
        <v>3.7</v>
      </c>
      <c r="G85" s="375">
        <v>4.7</v>
      </c>
      <c r="H85" s="375">
        <v>6.4</v>
      </c>
      <c r="I85" s="377" t="str">
        <f t="shared" si="1"/>
        <v>tolerant</v>
      </c>
    </row>
    <row r="86" spans="2:9">
      <c r="B86" s="376" t="s">
        <v>310</v>
      </c>
      <c r="C86" s="374" t="s">
        <v>309</v>
      </c>
      <c r="D86" s="375">
        <v>1</v>
      </c>
      <c r="E86" s="375">
        <v>7.7</v>
      </c>
      <c r="F86" s="375">
        <v>2.2999999999999998</v>
      </c>
      <c r="G86" s="375">
        <v>4.2</v>
      </c>
      <c r="H86" s="375">
        <v>7.5</v>
      </c>
      <c r="I86" s="377" t="str">
        <f t="shared" si="1"/>
        <v>moderately tolerant</v>
      </c>
    </row>
    <row r="87" spans="2:9">
      <c r="B87" s="376" t="s">
        <v>311</v>
      </c>
      <c r="C87" s="374" t="s">
        <v>312</v>
      </c>
      <c r="D87" s="375">
        <v>5.5</v>
      </c>
      <c r="E87" s="375">
        <v>10.3</v>
      </c>
      <c r="F87" s="375">
        <v>6.5</v>
      </c>
      <c r="G87" s="375">
        <v>7.9</v>
      </c>
      <c r="H87" s="375">
        <v>10.4</v>
      </c>
      <c r="I87" s="377" t="str">
        <f t="shared" si="1"/>
        <v>very tolerant</v>
      </c>
    </row>
    <row r="88" spans="2:9">
      <c r="B88" s="376" t="s">
        <v>313</v>
      </c>
      <c r="C88" s="374" t="s">
        <v>314</v>
      </c>
      <c r="D88" s="375">
        <v>6</v>
      </c>
      <c r="E88" s="375">
        <v>6.8</v>
      </c>
      <c r="F88" s="375">
        <v>7.5</v>
      </c>
      <c r="G88" s="375">
        <v>9.6999999999999993</v>
      </c>
      <c r="H88" s="375">
        <v>13.4</v>
      </c>
      <c r="I88" s="377" t="str">
        <f t="shared" si="1"/>
        <v>very tolerant</v>
      </c>
    </row>
    <row r="89" spans="2:9">
      <c r="B89" s="376" t="s">
        <v>315</v>
      </c>
      <c r="C89" s="374" t="s">
        <v>316</v>
      </c>
      <c r="D89" s="375">
        <v>1.5</v>
      </c>
      <c r="E89" s="375">
        <v>12</v>
      </c>
      <c r="F89" s="375">
        <v>2.2999999999999998</v>
      </c>
      <c r="G89" s="375">
        <v>3.6</v>
      </c>
      <c r="H89" s="375">
        <v>5.7</v>
      </c>
      <c r="I89" s="377" t="str">
        <f t="shared" si="1"/>
        <v>moderately tolerant</v>
      </c>
    </row>
    <row r="90" spans="2:9">
      <c r="B90" s="376" t="s">
        <v>317</v>
      </c>
      <c r="C90" s="374" t="s">
        <v>319</v>
      </c>
      <c r="D90" s="375">
        <v>2</v>
      </c>
      <c r="E90" s="375">
        <v>10.3</v>
      </c>
      <c r="F90" s="375">
        <v>3</v>
      </c>
      <c r="G90" s="375">
        <v>4.4000000000000004</v>
      </c>
      <c r="H90" s="375">
        <v>6.9</v>
      </c>
      <c r="I90" s="377" t="str">
        <f t="shared" si="1"/>
        <v>tolerant</v>
      </c>
    </row>
    <row r="91" spans="2:9">
      <c r="B91" s="376" t="s">
        <v>318</v>
      </c>
      <c r="C91" s="374" t="s">
        <v>319</v>
      </c>
      <c r="D91" s="375">
        <v>1.5</v>
      </c>
      <c r="E91" s="375">
        <v>5.8</v>
      </c>
      <c r="F91" s="375">
        <v>3.2</v>
      </c>
      <c r="G91" s="375">
        <v>5.8</v>
      </c>
      <c r="H91" s="375">
        <v>10.1</v>
      </c>
      <c r="I91" s="377" t="str">
        <f t="shared" si="1"/>
        <v>tolerant</v>
      </c>
    </row>
    <row r="92" spans="2:9">
      <c r="B92" s="376" t="s">
        <v>320</v>
      </c>
      <c r="C92" s="374" t="s">
        <v>321</v>
      </c>
      <c r="D92" s="375">
        <v>1</v>
      </c>
      <c r="E92" s="375">
        <v>8.9</v>
      </c>
      <c r="F92" s="375">
        <v>2.1</v>
      </c>
      <c r="G92" s="375">
        <v>3.8</v>
      </c>
      <c r="H92" s="375">
        <v>6.6</v>
      </c>
      <c r="I92" s="377" t="str">
        <f t="shared" si="1"/>
        <v>moderately tolerant</v>
      </c>
    </row>
    <row r="93" spans="2:9">
      <c r="B93" s="376" t="s">
        <v>322</v>
      </c>
      <c r="C93" s="374" t="s">
        <v>323</v>
      </c>
      <c r="D93" s="375">
        <v>1.6</v>
      </c>
      <c r="E93" s="375">
        <v>10.3</v>
      </c>
      <c r="F93" s="375">
        <v>2.6</v>
      </c>
      <c r="G93" s="375">
        <v>4</v>
      </c>
      <c r="H93" s="375">
        <v>6.5</v>
      </c>
      <c r="I93" s="377" t="str">
        <f t="shared" si="1"/>
        <v>moderately tolerant</v>
      </c>
    </row>
    <row r="94" spans="2:9">
      <c r="B94" s="376" t="s">
        <v>324</v>
      </c>
      <c r="C94" s="374" t="s">
        <v>325</v>
      </c>
      <c r="D94" s="375">
        <v>1</v>
      </c>
      <c r="E94" s="375">
        <v>9.6</v>
      </c>
      <c r="F94" s="375">
        <v>2</v>
      </c>
      <c r="G94" s="375">
        <v>3.6</v>
      </c>
      <c r="H94" s="375">
        <v>6.2</v>
      </c>
      <c r="I94" s="377" t="str">
        <f t="shared" si="1"/>
        <v>moderately tolerant</v>
      </c>
    </row>
    <row r="95" spans="2:9">
      <c r="B95" s="376" t="s">
        <v>326</v>
      </c>
      <c r="C95" s="374" t="s">
        <v>327</v>
      </c>
      <c r="D95" s="375">
        <v>1.5</v>
      </c>
      <c r="E95" s="375">
        <v>12.1</v>
      </c>
      <c r="F95" s="375">
        <v>2.2999999999999998</v>
      </c>
      <c r="G95" s="375">
        <v>3.6</v>
      </c>
      <c r="H95" s="375">
        <v>5.6</v>
      </c>
      <c r="I95" s="377" t="str">
        <f t="shared" si="1"/>
        <v>moderately tolerant</v>
      </c>
    </row>
    <row r="96" spans="2:9">
      <c r="B96" s="376" t="s">
        <v>328</v>
      </c>
      <c r="C96" s="374" t="s">
        <v>173</v>
      </c>
      <c r="D96" s="375">
        <v>1.8</v>
      </c>
      <c r="E96" s="375">
        <v>7.4</v>
      </c>
      <c r="F96" s="375">
        <v>3.2</v>
      </c>
      <c r="G96" s="375">
        <v>5.2</v>
      </c>
      <c r="H96" s="375">
        <v>8.6</v>
      </c>
      <c r="I96" s="377" t="str">
        <f t="shared" si="1"/>
        <v>tolerant</v>
      </c>
    </row>
    <row r="97" spans="2:9">
      <c r="B97" s="376" t="s">
        <v>329</v>
      </c>
      <c r="C97" s="374" t="s">
        <v>330</v>
      </c>
      <c r="D97" s="375">
        <v>6.9</v>
      </c>
      <c r="E97" s="375">
        <v>6.4</v>
      </c>
      <c r="F97" s="375">
        <v>8.5</v>
      </c>
      <c r="G97" s="375">
        <v>10.8</v>
      </c>
      <c r="H97" s="375">
        <v>14.7</v>
      </c>
      <c r="I97" s="377" t="str">
        <f t="shared" si="1"/>
        <v>very highly tolerant</v>
      </c>
    </row>
    <row r="98" spans="2:9">
      <c r="B98" s="376" t="s">
        <v>331</v>
      </c>
      <c r="C98" s="374" t="s">
        <v>177</v>
      </c>
      <c r="D98" s="375">
        <v>1.3</v>
      </c>
      <c r="E98" s="375">
        <v>14.3</v>
      </c>
      <c r="F98" s="375">
        <v>2</v>
      </c>
      <c r="G98" s="375">
        <v>3</v>
      </c>
      <c r="H98" s="375">
        <v>4.8</v>
      </c>
      <c r="I98" s="377" t="str">
        <f t="shared" si="1"/>
        <v>moderately tolerant</v>
      </c>
    </row>
    <row r="99" spans="2:9">
      <c r="B99" s="376" t="s">
        <v>332</v>
      </c>
      <c r="C99" s="374" t="s">
        <v>333</v>
      </c>
      <c r="D99" s="375">
        <v>2.1</v>
      </c>
      <c r="E99" s="375">
        <v>14.9</v>
      </c>
      <c r="F99" s="375">
        <v>2.8</v>
      </c>
      <c r="G99" s="375">
        <v>3.8</v>
      </c>
      <c r="H99" s="375">
        <v>5.5</v>
      </c>
      <c r="I99" s="377" t="str">
        <f t="shared" si="1"/>
        <v>moderately tolerant</v>
      </c>
    </row>
    <row r="100" spans="2:9">
      <c r="B100" s="376" t="s">
        <v>334</v>
      </c>
      <c r="C100" s="374" t="s">
        <v>335</v>
      </c>
      <c r="D100" s="375">
        <v>1</v>
      </c>
      <c r="E100" s="375">
        <v>22.7</v>
      </c>
      <c r="F100" s="375">
        <v>1.4</v>
      </c>
      <c r="G100" s="375">
        <v>2.1</v>
      </c>
      <c r="H100" s="375">
        <v>3.2</v>
      </c>
      <c r="I100" s="377" t="str">
        <f t="shared" si="1"/>
        <v>moderately tolerant</v>
      </c>
    </row>
    <row r="101" spans="2:9">
      <c r="B101" s="376" t="s">
        <v>336</v>
      </c>
      <c r="C101" s="374" t="s">
        <v>337</v>
      </c>
      <c r="D101" s="375">
        <v>1</v>
      </c>
      <c r="E101" s="375">
        <v>7.8</v>
      </c>
      <c r="F101" s="375">
        <v>2.2999999999999998</v>
      </c>
      <c r="G101" s="375">
        <v>4.2</v>
      </c>
      <c r="H101" s="375">
        <v>7.4</v>
      </c>
      <c r="I101" s="377" t="str">
        <f t="shared" si="1"/>
        <v>moderately tolerant</v>
      </c>
    </row>
    <row r="102" spans="2:9">
      <c r="B102" s="376" t="s">
        <v>338</v>
      </c>
      <c r="C102" s="374" t="s">
        <v>339</v>
      </c>
      <c r="D102" s="375">
        <v>1</v>
      </c>
      <c r="E102" s="375">
        <v>15.6</v>
      </c>
      <c r="F102" s="375">
        <v>1.6</v>
      </c>
      <c r="G102" s="375">
        <v>2.6</v>
      </c>
      <c r="H102" s="375">
        <v>4.2</v>
      </c>
      <c r="I102" s="377" t="str">
        <f t="shared" si="1"/>
        <v>moderately tolerant</v>
      </c>
    </row>
    <row r="103" spans="2:9">
      <c r="B103" s="376" t="s">
        <v>340</v>
      </c>
      <c r="C103" s="374" t="s">
        <v>341</v>
      </c>
      <c r="D103" s="375">
        <v>3.9</v>
      </c>
      <c r="E103" s="375">
        <v>5.3</v>
      </c>
      <c r="F103" s="375">
        <v>5.8</v>
      </c>
      <c r="G103" s="375">
        <v>8.6</v>
      </c>
      <c r="H103" s="375">
        <v>13.3</v>
      </c>
      <c r="I103" s="377" t="str">
        <f t="shared" si="1"/>
        <v>very tolerant</v>
      </c>
    </row>
    <row r="104" spans="2:9">
      <c r="B104" s="376" t="s">
        <v>342</v>
      </c>
      <c r="C104" s="374" t="s">
        <v>343</v>
      </c>
      <c r="D104" s="375">
        <v>1.8</v>
      </c>
      <c r="E104" s="375">
        <v>9.9</v>
      </c>
      <c r="F104" s="375">
        <v>2.8</v>
      </c>
      <c r="G104" s="375">
        <v>4.3</v>
      </c>
      <c r="H104" s="375">
        <v>6.9</v>
      </c>
      <c r="I104" s="377" t="str">
        <f t="shared" si="1"/>
        <v>moderately tolerant</v>
      </c>
    </row>
    <row r="105" spans="2:9">
      <c r="B105" s="376" t="s">
        <v>344</v>
      </c>
      <c r="C105" s="374" t="s">
        <v>345</v>
      </c>
      <c r="D105" s="375">
        <v>3</v>
      </c>
      <c r="E105" s="375">
        <v>6.9</v>
      </c>
      <c r="F105" s="375">
        <v>4.4000000000000004</v>
      </c>
      <c r="G105" s="375">
        <v>6.6</v>
      </c>
      <c r="H105" s="375">
        <v>10.199999999999999</v>
      </c>
      <c r="I105" s="377" t="str">
        <f t="shared" si="1"/>
        <v>tolerant</v>
      </c>
    </row>
    <row r="106" spans="2:9">
      <c r="B106" s="376" t="s">
        <v>346</v>
      </c>
      <c r="C106" s="374" t="s">
        <v>347</v>
      </c>
      <c r="D106" s="375">
        <v>3</v>
      </c>
      <c r="E106" s="375">
        <v>3</v>
      </c>
      <c r="F106" s="375">
        <v>6.3</v>
      </c>
      <c r="G106" s="375">
        <v>11.3</v>
      </c>
      <c r="H106" s="375">
        <v>19.7</v>
      </c>
      <c r="I106" s="377" t="str">
        <f t="shared" si="1"/>
        <v>very tolerant</v>
      </c>
    </row>
    <row r="107" spans="2:9">
      <c r="B107" s="376" t="s">
        <v>348</v>
      </c>
      <c r="C107" s="374" t="s">
        <v>349</v>
      </c>
      <c r="D107" s="375">
        <v>3</v>
      </c>
      <c r="E107" s="375">
        <v>15.6</v>
      </c>
      <c r="F107" s="375">
        <v>3.6</v>
      </c>
      <c r="G107" s="375">
        <v>4.5999999999999996</v>
      </c>
      <c r="H107" s="375">
        <v>6.2</v>
      </c>
      <c r="I107" s="377" t="str">
        <f t="shared" si="1"/>
        <v>tolerant</v>
      </c>
    </row>
    <row r="108" spans="2:9">
      <c r="B108" s="376" t="s">
        <v>350</v>
      </c>
      <c r="C108" s="374" t="s">
        <v>351</v>
      </c>
      <c r="D108" s="375">
        <v>1</v>
      </c>
      <c r="E108" s="375">
        <v>12.2</v>
      </c>
      <c r="F108" s="375">
        <v>1.8</v>
      </c>
      <c r="G108" s="375">
        <v>3.1</v>
      </c>
      <c r="H108" s="375">
        <v>5.0999999999999996</v>
      </c>
      <c r="I108" s="377" t="str">
        <f t="shared" si="1"/>
        <v>moderately tolerant</v>
      </c>
    </row>
    <row r="109" spans="2:9">
      <c r="B109" s="376" t="s">
        <v>352</v>
      </c>
      <c r="C109" s="374" t="s">
        <v>353</v>
      </c>
      <c r="D109" s="375">
        <v>2</v>
      </c>
      <c r="E109" s="375">
        <v>8.5</v>
      </c>
      <c r="F109" s="375">
        <v>3.2</v>
      </c>
      <c r="G109" s="375">
        <v>4.9000000000000004</v>
      </c>
      <c r="H109" s="375">
        <v>7.9</v>
      </c>
      <c r="I109" s="377" t="str">
        <f t="shared" si="1"/>
        <v>tolerant</v>
      </c>
    </row>
    <row r="110" spans="2:9">
      <c r="B110" s="376" t="s">
        <v>354</v>
      </c>
      <c r="C110" s="374" t="s">
        <v>356</v>
      </c>
      <c r="D110" s="375">
        <v>2</v>
      </c>
      <c r="E110" s="375">
        <v>6</v>
      </c>
      <c r="F110" s="375">
        <v>3.7</v>
      </c>
      <c r="G110" s="375">
        <v>6.2</v>
      </c>
      <c r="H110" s="375">
        <v>10.3</v>
      </c>
      <c r="I110" s="377" t="str">
        <f t="shared" si="1"/>
        <v>tolerant</v>
      </c>
    </row>
    <row r="111" spans="2:9">
      <c r="B111" s="376" t="s">
        <v>355</v>
      </c>
      <c r="C111" s="374" t="s">
        <v>356</v>
      </c>
      <c r="D111" s="375">
        <v>1.5</v>
      </c>
      <c r="E111" s="375">
        <v>6.9</v>
      </c>
      <c r="F111" s="375">
        <v>2.9</v>
      </c>
      <c r="G111" s="375">
        <v>5.0999999999999996</v>
      </c>
      <c r="H111" s="375">
        <v>8.6999999999999993</v>
      </c>
      <c r="I111" s="377" t="str">
        <f t="shared" si="1"/>
        <v>tolerant</v>
      </c>
    </row>
    <row r="112" spans="2:9">
      <c r="B112" s="376" t="s">
        <v>357</v>
      </c>
      <c r="C112" s="374" t="s">
        <v>356</v>
      </c>
      <c r="D112" s="375">
        <v>2</v>
      </c>
      <c r="E112" s="375">
        <v>7.3</v>
      </c>
      <c r="F112" s="375">
        <v>3.4</v>
      </c>
      <c r="G112" s="375">
        <v>5.4</v>
      </c>
      <c r="H112" s="375">
        <v>8.8000000000000007</v>
      </c>
      <c r="I112" s="377" t="str">
        <f t="shared" si="1"/>
        <v>tolerant</v>
      </c>
    </row>
    <row r="113" spans="2:9">
      <c r="B113" s="376" t="s">
        <v>358</v>
      </c>
      <c r="C113" s="374" t="s">
        <v>359</v>
      </c>
      <c r="D113" s="375">
        <v>1.5</v>
      </c>
      <c r="E113" s="375">
        <v>9.6999999999999993</v>
      </c>
      <c r="F113" s="375">
        <v>2.5</v>
      </c>
      <c r="G113" s="375">
        <v>4.0999999999999996</v>
      </c>
      <c r="H113" s="375">
        <v>6.7</v>
      </c>
      <c r="I113" s="377" t="str">
        <f t="shared" si="1"/>
        <v>moderately tolerant</v>
      </c>
    </row>
    <row r="114" spans="2:9">
      <c r="B114" s="376" t="s">
        <v>360</v>
      </c>
      <c r="C114" s="374" t="s">
        <v>361</v>
      </c>
      <c r="D114" s="375">
        <v>1.5</v>
      </c>
      <c r="E114" s="375">
        <v>6.2</v>
      </c>
      <c r="F114" s="375">
        <v>3.1</v>
      </c>
      <c r="G114" s="375">
        <v>5.5</v>
      </c>
      <c r="H114" s="375">
        <v>9.6</v>
      </c>
      <c r="I114" s="377" t="str">
        <f t="shared" si="1"/>
        <v>tolerant</v>
      </c>
    </row>
    <row r="115" spans="2:9">
      <c r="B115" s="376" t="s">
        <v>362</v>
      </c>
      <c r="C115" s="374" t="s">
        <v>363</v>
      </c>
      <c r="D115" s="375">
        <v>2</v>
      </c>
      <c r="E115" s="375">
        <v>4</v>
      </c>
      <c r="F115" s="375">
        <v>4.5</v>
      </c>
      <c r="G115" s="375">
        <v>8.3000000000000007</v>
      </c>
      <c r="H115" s="375">
        <v>14.5</v>
      </c>
      <c r="I115" s="377" t="str">
        <f t="shared" si="1"/>
        <v>tolerant</v>
      </c>
    </row>
    <row r="116" spans="2:9">
      <c r="B116" s="376" t="s">
        <v>364</v>
      </c>
      <c r="C116" s="374" t="s">
        <v>365</v>
      </c>
      <c r="D116" s="375">
        <v>1.8</v>
      </c>
      <c r="E116" s="375">
        <v>9</v>
      </c>
      <c r="F116" s="375">
        <v>2.9</v>
      </c>
      <c r="G116" s="375">
        <v>4.5999999999999996</v>
      </c>
      <c r="H116" s="375">
        <v>7.4</v>
      </c>
      <c r="I116" s="377" t="str">
        <f t="shared" si="1"/>
        <v>tolerant</v>
      </c>
    </row>
    <row r="117" spans="2:9">
      <c r="B117" s="376" t="s">
        <v>366</v>
      </c>
      <c r="C117" s="374" t="s">
        <v>367</v>
      </c>
      <c r="D117" s="375">
        <v>4.2</v>
      </c>
      <c r="E117" s="375" t="s">
        <v>1</v>
      </c>
      <c r="F117" s="375" t="s">
        <v>1</v>
      </c>
      <c r="G117" s="375" t="s">
        <v>1</v>
      </c>
      <c r="H117" s="375" t="s">
        <v>1</v>
      </c>
      <c r="I117" s="377" t="str">
        <f t="shared" si="1"/>
        <v>tolerant</v>
      </c>
    </row>
    <row r="118" spans="2:9">
      <c r="B118" s="376" t="s">
        <v>368</v>
      </c>
      <c r="C118" s="374" t="s">
        <v>369</v>
      </c>
      <c r="D118" s="375">
        <v>7</v>
      </c>
      <c r="E118" s="375">
        <v>3.2</v>
      </c>
      <c r="F118" s="375">
        <v>10.1</v>
      </c>
      <c r="G118" s="375">
        <v>14.8</v>
      </c>
      <c r="H118" s="375">
        <v>22.6</v>
      </c>
      <c r="I118" s="377" t="str">
        <f t="shared" si="1"/>
        <v>very highly tolerant</v>
      </c>
    </row>
    <row r="119" spans="2:9">
      <c r="B119" s="376" t="s">
        <v>370</v>
      </c>
      <c r="C119" s="374" t="s">
        <v>371</v>
      </c>
      <c r="D119" s="375">
        <v>2.2999999999999998</v>
      </c>
      <c r="E119" s="375">
        <v>7</v>
      </c>
      <c r="F119" s="375">
        <v>3.7</v>
      </c>
      <c r="G119" s="375">
        <v>5.9</v>
      </c>
      <c r="H119" s="375">
        <v>9.4</v>
      </c>
      <c r="I119" s="377" t="str">
        <f t="shared" si="1"/>
        <v>tolerant</v>
      </c>
    </row>
    <row r="120" spans="2:9">
      <c r="B120" s="376" t="s">
        <v>372</v>
      </c>
      <c r="C120" s="374" t="s">
        <v>373</v>
      </c>
      <c r="D120" s="375">
        <v>2.4</v>
      </c>
      <c r="E120" s="375">
        <v>12.2</v>
      </c>
      <c r="F120" s="375">
        <v>3.2</v>
      </c>
      <c r="G120" s="375">
        <v>4.5</v>
      </c>
      <c r="H120" s="375">
        <v>6.5</v>
      </c>
      <c r="I120" s="377" t="str">
        <f t="shared" si="1"/>
        <v>tolerant</v>
      </c>
    </row>
    <row r="121" spans="2:9">
      <c r="B121" s="376" t="s">
        <v>374</v>
      </c>
      <c r="C121" s="374" t="s">
        <v>375</v>
      </c>
      <c r="D121" s="375">
        <v>2</v>
      </c>
      <c r="E121" s="375">
        <v>7.9</v>
      </c>
      <c r="F121" s="375">
        <v>3.3</v>
      </c>
      <c r="G121" s="375">
        <v>5.2</v>
      </c>
      <c r="H121" s="375">
        <v>8.3000000000000007</v>
      </c>
      <c r="I121" s="377" t="str">
        <f t="shared" si="1"/>
        <v>tolerant</v>
      </c>
    </row>
    <row r="122" spans="2:9">
      <c r="B122" s="376" t="s">
        <v>376</v>
      </c>
      <c r="C122" s="374" t="s">
        <v>377</v>
      </c>
      <c r="D122" s="375">
        <v>1.5</v>
      </c>
      <c r="E122" s="375">
        <v>12.9</v>
      </c>
      <c r="F122" s="375">
        <v>2.2999999999999998</v>
      </c>
      <c r="G122" s="375">
        <v>3.4</v>
      </c>
      <c r="H122" s="375">
        <v>5.4</v>
      </c>
      <c r="I122" s="377" t="str">
        <f t="shared" si="1"/>
        <v>moderately tolerant</v>
      </c>
    </row>
    <row r="123" spans="2:9">
      <c r="B123" s="376" t="s">
        <v>378</v>
      </c>
      <c r="C123" s="374" t="s">
        <v>379</v>
      </c>
      <c r="D123" s="375">
        <v>1.5</v>
      </c>
      <c r="E123" s="375">
        <v>11.6</v>
      </c>
      <c r="F123" s="375">
        <v>2.4</v>
      </c>
      <c r="G123" s="375">
        <v>3.7</v>
      </c>
      <c r="H123" s="375">
        <v>5.8</v>
      </c>
      <c r="I123" s="377" t="str">
        <f t="shared" si="1"/>
        <v>moderately tolerant</v>
      </c>
    </row>
    <row r="124" spans="2:9">
      <c r="B124" s="376" t="s">
        <v>380</v>
      </c>
      <c r="C124" s="374" t="s">
        <v>381</v>
      </c>
      <c r="D124" s="375">
        <v>2.8</v>
      </c>
      <c r="E124" s="375">
        <v>4.3</v>
      </c>
      <c r="F124" s="375">
        <v>5.0999999999999996</v>
      </c>
      <c r="G124" s="375">
        <v>8.6</v>
      </c>
      <c r="H124" s="375">
        <v>14.4</v>
      </c>
      <c r="I124" s="377" t="str">
        <f t="shared" si="1"/>
        <v>tolerant</v>
      </c>
    </row>
    <row r="125" spans="2:9">
      <c r="B125" s="376" t="s">
        <v>382</v>
      </c>
      <c r="C125" s="374" t="s">
        <v>383</v>
      </c>
      <c r="D125" s="375">
        <v>2.4</v>
      </c>
      <c r="E125" s="375">
        <v>20.399999999999999</v>
      </c>
      <c r="F125" s="375">
        <v>2.9</v>
      </c>
      <c r="G125" s="375">
        <v>3.6</v>
      </c>
      <c r="H125" s="375">
        <v>4.9000000000000004</v>
      </c>
      <c r="I125" s="377" t="str">
        <f t="shared" si="1"/>
        <v>tolerant</v>
      </c>
    </row>
    <row r="126" spans="2:9">
      <c r="B126" s="376" t="s">
        <v>384</v>
      </c>
      <c r="C126" s="374" t="s">
        <v>385</v>
      </c>
      <c r="D126" s="375">
        <v>3</v>
      </c>
      <c r="E126" s="375">
        <v>11.1</v>
      </c>
      <c r="F126" s="375">
        <v>3.9</v>
      </c>
      <c r="G126" s="375">
        <v>5.3</v>
      </c>
      <c r="H126" s="375">
        <v>7.5</v>
      </c>
      <c r="I126" s="377" t="str">
        <f t="shared" si="1"/>
        <v>tolerant</v>
      </c>
    </row>
    <row r="127" spans="2:9">
      <c r="B127" s="376" t="s">
        <v>386</v>
      </c>
      <c r="C127" s="374" t="s">
        <v>387</v>
      </c>
      <c r="D127" s="375">
        <v>5</v>
      </c>
      <c r="E127" s="375">
        <v>10</v>
      </c>
      <c r="F127" s="375">
        <v>6</v>
      </c>
      <c r="G127" s="375">
        <v>7.5</v>
      </c>
      <c r="H127" s="375">
        <v>10</v>
      </c>
      <c r="I127" s="377" t="str">
        <f t="shared" si="1"/>
        <v>very tolerant</v>
      </c>
    </row>
    <row r="128" spans="2:9" ht="24.75" customHeight="1">
      <c r="B128" s="376" t="s">
        <v>388</v>
      </c>
      <c r="C128" s="374" t="s">
        <v>389</v>
      </c>
      <c r="D128" s="375">
        <v>8.5</v>
      </c>
      <c r="E128" s="375">
        <v>12.4</v>
      </c>
      <c r="F128" s="375">
        <v>9.3000000000000007</v>
      </c>
      <c r="G128" s="375">
        <v>10.5</v>
      </c>
      <c r="H128" s="375">
        <v>12.5</v>
      </c>
      <c r="I128" s="377" t="str">
        <f t="shared" si="1"/>
        <v>very highly tolerant</v>
      </c>
    </row>
    <row r="129" spans="2:9">
      <c r="B129" s="376" t="s">
        <v>390</v>
      </c>
      <c r="C129" s="374" t="s">
        <v>391</v>
      </c>
      <c r="D129" s="375">
        <v>3.5</v>
      </c>
      <c r="E129" s="375">
        <v>4</v>
      </c>
      <c r="F129" s="375">
        <v>6</v>
      </c>
      <c r="G129" s="375">
        <v>9.8000000000000007</v>
      </c>
      <c r="H129" s="375">
        <v>16</v>
      </c>
      <c r="I129" s="377" t="str">
        <f t="shared" si="1"/>
        <v>very tolerant</v>
      </c>
    </row>
    <row r="130" spans="2:9">
      <c r="B130" s="376" t="s">
        <v>392</v>
      </c>
      <c r="C130" s="374" t="s">
        <v>393</v>
      </c>
      <c r="D130" s="375">
        <v>7.5</v>
      </c>
      <c r="E130" s="375">
        <v>6.9</v>
      </c>
      <c r="F130" s="375">
        <v>8.9</v>
      </c>
      <c r="G130" s="375">
        <v>11.1</v>
      </c>
      <c r="H130" s="375">
        <v>14.7</v>
      </c>
      <c r="I130" s="377" t="str">
        <f t="shared" si="1"/>
        <v>very highly tolerant</v>
      </c>
    </row>
    <row r="131" spans="2:9">
      <c r="B131" s="376" t="s">
        <v>394</v>
      </c>
      <c r="C131" s="374" t="s">
        <v>395</v>
      </c>
      <c r="D131" s="375">
        <v>7.5</v>
      </c>
      <c r="E131" s="375">
        <v>4.2</v>
      </c>
      <c r="F131" s="375">
        <v>9.9</v>
      </c>
      <c r="G131" s="375">
        <v>13.5</v>
      </c>
      <c r="H131" s="375">
        <v>19.399999999999999</v>
      </c>
      <c r="I131" s="377" t="str">
        <f t="shared" si="1"/>
        <v>very highly tolerant</v>
      </c>
    </row>
    <row r="132" spans="2:9" ht="15.5">
      <c r="B132" s="369" t="s">
        <v>396</v>
      </c>
      <c r="C132" s="370"/>
      <c r="D132" s="372"/>
      <c r="E132" s="372"/>
      <c r="F132" s="372"/>
      <c r="G132" s="372"/>
      <c r="H132" s="372"/>
      <c r="I132" s="368"/>
    </row>
    <row r="133" spans="2:9">
      <c r="B133" s="376" t="s">
        <v>397</v>
      </c>
      <c r="C133" s="374" t="s">
        <v>398</v>
      </c>
      <c r="D133" s="375">
        <v>1</v>
      </c>
      <c r="E133" s="375">
        <v>18.899999999999999</v>
      </c>
      <c r="F133" s="375">
        <v>1.5</v>
      </c>
      <c r="G133" s="375">
        <v>2.2999999999999998</v>
      </c>
      <c r="H133" s="375">
        <v>3.6</v>
      </c>
      <c r="I133" s="377" t="str">
        <f t="shared" si="1"/>
        <v>moderately tolerant</v>
      </c>
    </row>
    <row r="134" spans="2:9">
      <c r="B134" s="376" t="s">
        <v>399</v>
      </c>
      <c r="C134" s="374" t="s">
        <v>400</v>
      </c>
      <c r="D134" s="375">
        <v>1.6</v>
      </c>
      <c r="E134" s="375">
        <v>9.6</v>
      </c>
      <c r="F134" s="375">
        <v>2.6</v>
      </c>
      <c r="G134" s="375">
        <v>4.2</v>
      </c>
      <c r="H134" s="375">
        <v>6.8</v>
      </c>
      <c r="I134" s="377" t="str">
        <f t="shared" si="1"/>
        <v>moderately tolerant</v>
      </c>
    </row>
    <row r="135" spans="2:9">
      <c r="B135" s="376" t="s">
        <v>401</v>
      </c>
      <c r="C135" s="374" t="s">
        <v>402</v>
      </c>
      <c r="D135" s="375">
        <v>2.8</v>
      </c>
      <c r="E135" s="375">
        <v>9.1</v>
      </c>
      <c r="F135" s="375">
        <v>3.9</v>
      </c>
      <c r="G135" s="375">
        <v>5.5</v>
      </c>
      <c r="H135" s="375">
        <v>8.3000000000000007</v>
      </c>
      <c r="I135" s="377" t="str">
        <f t="shared" si="1"/>
        <v>tolerant</v>
      </c>
    </row>
    <row r="136" spans="2:9">
      <c r="B136" s="376" t="s">
        <v>403</v>
      </c>
      <c r="C136" s="374" t="s">
        <v>404</v>
      </c>
      <c r="D136" s="375">
        <v>1.8</v>
      </c>
      <c r="E136" s="375">
        <v>9.6999999999999993</v>
      </c>
      <c r="F136" s="375">
        <v>2.8</v>
      </c>
      <c r="G136" s="375">
        <v>4.4000000000000004</v>
      </c>
      <c r="H136" s="375">
        <v>7</v>
      </c>
      <c r="I136" s="377" t="str">
        <f t="shared" si="1"/>
        <v>moderately tolerant</v>
      </c>
    </row>
    <row r="137" spans="2:9">
      <c r="B137" s="376" t="s">
        <v>405</v>
      </c>
      <c r="C137" s="374" t="s">
        <v>406</v>
      </c>
      <c r="D137" s="375">
        <v>1</v>
      </c>
      <c r="E137" s="375">
        <v>14.1</v>
      </c>
      <c r="F137" s="375">
        <v>1.7</v>
      </c>
      <c r="G137" s="375">
        <v>2.8</v>
      </c>
      <c r="H137" s="375">
        <v>4.5</v>
      </c>
      <c r="I137" s="377" t="str">
        <f t="shared" si="1"/>
        <v>moderately tolerant</v>
      </c>
    </row>
    <row r="138" spans="2:9">
      <c r="B138" s="376" t="s">
        <v>407</v>
      </c>
      <c r="C138" s="374" t="s">
        <v>402</v>
      </c>
      <c r="D138" s="375">
        <v>2.5</v>
      </c>
      <c r="E138" s="375" t="s">
        <v>1</v>
      </c>
      <c r="F138" s="375" t="s">
        <v>1</v>
      </c>
      <c r="G138" s="375" t="s">
        <v>1</v>
      </c>
      <c r="H138" s="375" t="s">
        <v>1</v>
      </c>
      <c r="I138" s="377" t="str">
        <f t="shared" si="1"/>
        <v>moderately tolerant</v>
      </c>
    </row>
    <row r="139" spans="2:9">
      <c r="B139" s="376" t="s">
        <v>408</v>
      </c>
      <c r="C139" s="374" t="s">
        <v>409</v>
      </c>
      <c r="D139" s="375">
        <v>1.8</v>
      </c>
      <c r="E139" s="375">
        <v>6.2</v>
      </c>
      <c r="F139" s="375">
        <v>3.4</v>
      </c>
      <c r="G139" s="375">
        <v>5.8</v>
      </c>
      <c r="H139" s="375">
        <v>9.9</v>
      </c>
      <c r="I139" s="377" t="str">
        <f t="shared" si="1"/>
        <v>tolerant</v>
      </c>
    </row>
    <row r="140" spans="2:9">
      <c r="B140" s="376" t="s">
        <v>410</v>
      </c>
      <c r="C140" s="374" t="s">
        <v>411</v>
      </c>
      <c r="D140" s="375">
        <v>2.5</v>
      </c>
      <c r="E140" s="375">
        <v>13</v>
      </c>
      <c r="F140" s="375">
        <v>3.3</v>
      </c>
      <c r="G140" s="375">
        <v>4.4000000000000004</v>
      </c>
      <c r="H140" s="375">
        <v>6.3</v>
      </c>
      <c r="I140" s="377" t="str">
        <f t="shared" ref="I140:I152" si="2">IF(ISNUMBER(F140),IF(AND(F140&gt;=0,F140&lt;0.65),"sensitive",IF(AND(F140&gt;=0.65,F140&lt;1.3),"moderately sensitive",IF(AND(F140&gt;=1.3,F140&lt;2.9),"moderately tolerant",IF(AND(F140&gt;=2.9,F140&lt;5.2),"tolerant",IF(AND(F140&gt;=5.2,F140&lt;8.1),"very tolerant",IF(F140&gt;=8.1,"very highly tolerant")))))),IF(AND(ISNUMBER(D140),(OR(ISTEXT(F140),ISBLANK(F140)))),IF(AND(D140&gt;=0,D140&lt;0.65),"sensitive",IF(AND(D140&gt;=0.65,D140&lt;1.3),"moderately sensitive",IF(AND(D140&gt;=1.3,D140&lt;2.9),"moderately tolerant",IF(AND(D140&gt;=2.9,D140&lt;5.2),"tolerant",IF(AND(D140&gt;=5.2,D140&lt;8.1),"very tolerant",IF(D140&gt;=8.1,"very highly tolerant",""))))))))</f>
        <v>tolerant</v>
      </c>
    </row>
    <row r="141" spans="2:9">
      <c r="B141" s="376" t="s">
        <v>412</v>
      </c>
      <c r="C141" s="374" t="s">
        <v>413</v>
      </c>
      <c r="D141" s="375">
        <v>1.1000000000000001</v>
      </c>
      <c r="E141" s="375">
        <v>6.9</v>
      </c>
      <c r="F141" s="375">
        <v>2.5</v>
      </c>
      <c r="G141" s="375">
        <v>4.7</v>
      </c>
      <c r="H141" s="375">
        <v>8.3000000000000007</v>
      </c>
      <c r="I141" s="377" t="str">
        <f t="shared" si="2"/>
        <v>moderately tolerant</v>
      </c>
    </row>
    <row r="142" spans="2:9">
      <c r="B142" s="376" t="s">
        <v>414</v>
      </c>
      <c r="C142" s="374" t="s">
        <v>415</v>
      </c>
      <c r="D142" s="375">
        <v>6.5</v>
      </c>
      <c r="E142" s="375" t="s">
        <v>1</v>
      </c>
      <c r="F142" s="375" t="s">
        <v>1</v>
      </c>
      <c r="G142" s="375" t="s">
        <v>1</v>
      </c>
      <c r="H142" s="375" t="s">
        <v>1</v>
      </c>
      <c r="I142" s="377" t="str">
        <f t="shared" si="2"/>
        <v>very tolerant</v>
      </c>
    </row>
    <row r="143" spans="2:9">
      <c r="B143" s="376" t="s">
        <v>416</v>
      </c>
      <c r="C143" s="374" t="s">
        <v>417</v>
      </c>
      <c r="D143" s="375">
        <v>1.3</v>
      </c>
      <c r="E143" s="375">
        <v>13</v>
      </c>
      <c r="F143" s="375">
        <v>2.1</v>
      </c>
      <c r="G143" s="375">
        <v>3.2</v>
      </c>
      <c r="H143" s="375">
        <v>5.0999999999999996</v>
      </c>
      <c r="I143" s="377" t="str">
        <f t="shared" si="2"/>
        <v>moderately tolerant</v>
      </c>
    </row>
    <row r="144" spans="2:9">
      <c r="B144" s="376" t="s">
        <v>418</v>
      </c>
      <c r="C144" s="374" t="s">
        <v>419</v>
      </c>
      <c r="D144" s="375">
        <v>2.5</v>
      </c>
      <c r="E144" s="375" t="s">
        <v>1</v>
      </c>
      <c r="F144" s="375" t="s">
        <v>1</v>
      </c>
      <c r="G144" s="375" t="s">
        <v>1</v>
      </c>
      <c r="H144" s="375" t="s">
        <v>1</v>
      </c>
      <c r="I144" s="377" t="str">
        <f t="shared" si="2"/>
        <v>moderately tolerant</v>
      </c>
    </row>
    <row r="145" spans="1:9">
      <c r="B145" s="376" t="s">
        <v>420</v>
      </c>
      <c r="C145" s="374" t="s">
        <v>421</v>
      </c>
      <c r="D145" s="375">
        <v>1.5</v>
      </c>
      <c r="E145" s="375">
        <v>14.1</v>
      </c>
      <c r="F145" s="375">
        <v>2.2000000000000002</v>
      </c>
      <c r="G145" s="375">
        <v>3.3</v>
      </c>
      <c r="H145" s="375">
        <v>5</v>
      </c>
      <c r="I145" s="377" t="str">
        <f t="shared" si="2"/>
        <v>moderately tolerant</v>
      </c>
    </row>
    <row r="146" spans="1:9">
      <c r="B146" s="376" t="s">
        <v>422</v>
      </c>
      <c r="C146" s="374" t="s">
        <v>423</v>
      </c>
      <c r="D146" s="375">
        <v>4.5</v>
      </c>
      <c r="E146" s="375" t="s">
        <v>1</v>
      </c>
      <c r="F146" s="375" t="s">
        <v>1</v>
      </c>
      <c r="G146" s="375" t="s">
        <v>1</v>
      </c>
      <c r="H146" s="375" t="s">
        <v>1</v>
      </c>
      <c r="I146" s="377" t="str">
        <f t="shared" si="2"/>
        <v>tolerant</v>
      </c>
    </row>
    <row r="147" spans="1:9">
      <c r="B147" s="376" t="s">
        <v>424</v>
      </c>
      <c r="C147" s="374" t="s">
        <v>425</v>
      </c>
      <c r="D147" s="375">
        <v>2</v>
      </c>
      <c r="E147" s="375">
        <v>7.6</v>
      </c>
      <c r="F147" s="375">
        <v>3.3</v>
      </c>
      <c r="G147" s="375">
        <v>5.3</v>
      </c>
      <c r="H147" s="375">
        <v>8.6</v>
      </c>
      <c r="I147" s="377" t="str">
        <f t="shared" si="2"/>
        <v>tolerant</v>
      </c>
    </row>
    <row r="148" spans="1:9">
      <c r="B148" s="376" t="s">
        <v>426</v>
      </c>
      <c r="C148" s="374" t="s">
        <v>427</v>
      </c>
      <c r="D148" s="375">
        <v>2.5</v>
      </c>
      <c r="E148" s="375" t="s">
        <v>1</v>
      </c>
      <c r="F148" s="375" t="s">
        <v>1</v>
      </c>
      <c r="G148" s="375" t="s">
        <v>1</v>
      </c>
      <c r="H148" s="375" t="s">
        <v>1</v>
      </c>
      <c r="I148" s="377" t="str">
        <f t="shared" si="2"/>
        <v>moderately tolerant</v>
      </c>
    </row>
    <row r="149" spans="1:9">
      <c r="B149" s="376" t="s">
        <v>428</v>
      </c>
      <c r="C149" s="374" t="s">
        <v>429</v>
      </c>
      <c r="D149" s="375">
        <v>3.2</v>
      </c>
      <c r="E149" s="375">
        <v>16</v>
      </c>
      <c r="F149" s="375">
        <v>3.8</v>
      </c>
      <c r="G149" s="375">
        <v>4.8</v>
      </c>
      <c r="H149" s="375">
        <v>6.3</v>
      </c>
      <c r="I149" s="377" t="str">
        <f t="shared" si="2"/>
        <v>tolerant</v>
      </c>
    </row>
    <row r="150" spans="1:9">
      <c r="B150" s="376" t="s">
        <v>430</v>
      </c>
      <c r="C150" s="374" t="s">
        <v>431</v>
      </c>
      <c r="D150" s="375">
        <v>2.2999999999999998</v>
      </c>
      <c r="E150" s="375">
        <v>18.899999999999999</v>
      </c>
      <c r="F150" s="375">
        <v>2.8</v>
      </c>
      <c r="G150" s="375">
        <v>3.6</v>
      </c>
      <c r="H150" s="375">
        <v>4.9000000000000004</v>
      </c>
      <c r="I150" s="377" t="str">
        <f t="shared" si="2"/>
        <v>moderately tolerant</v>
      </c>
    </row>
    <row r="151" spans="1:9">
      <c r="B151" s="376" t="s">
        <v>432</v>
      </c>
      <c r="C151" s="374" t="s">
        <v>433</v>
      </c>
      <c r="D151" s="375">
        <v>0.9</v>
      </c>
      <c r="E151" s="375">
        <v>9</v>
      </c>
      <c r="F151" s="375">
        <v>2</v>
      </c>
      <c r="G151" s="375">
        <v>3.7</v>
      </c>
      <c r="H151" s="375">
        <v>6.5</v>
      </c>
      <c r="I151" s="377" t="str">
        <f t="shared" si="2"/>
        <v>moderately tolerant</v>
      </c>
    </row>
    <row r="152" spans="1:9" ht="15" thickBot="1">
      <c r="B152" s="378" t="s">
        <v>434</v>
      </c>
      <c r="C152" s="379" t="s">
        <v>429</v>
      </c>
      <c r="D152" s="380">
        <v>4.7</v>
      </c>
      <c r="E152" s="380">
        <v>9.4</v>
      </c>
      <c r="F152" s="380">
        <v>5.8</v>
      </c>
      <c r="G152" s="380">
        <v>7.4</v>
      </c>
      <c r="H152" s="380">
        <v>10</v>
      </c>
      <c r="I152" s="381" t="str">
        <f t="shared" si="2"/>
        <v>very tolerant</v>
      </c>
    </row>
    <row r="153" spans="1:9" s="724" customFormat="1" ht="15.5">
      <c r="A153" s="162"/>
      <c r="B153" s="369" t="s">
        <v>1573</v>
      </c>
      <c r="C153" s="370"/>
      <c r="D153" s="372"/>
      <c r="E153" s="372"/>
      <c r="F153" s="372"/>
      <c r="G153" s="372"/>
      <c r="H153" s="372"/>
      <c r="I153" s="368"/>
    </row>
    <row r="154" spans="1:9">
      <c r="A154" s="162">
        <v>1</v>
      </c>
      <c r="B154" s="376"/>
      <c r="C154" s="374"/>
      <c r="D154" s="375"/>
      <c r="E154" s="375"/>
      <c r="F154" s="375"/>
      <c r="G154" s="375"/>
      <c r="H154" s="375"/>
      <c r="I154" s="377"/>
    </row>
    <row r="155" spans="1:9">
      <c r="A155" s="162">
        <v>2</v>
      </c>
      <c r="B155" s="376"/>
      <c r="C155" s="374"/>
      <c r="D155" s="375"/>
      <c r="E155" s="375"/>
      <c r="F155" s="375"/>
      <c r="G155" s="375"/>
      <c r="H155" s="375"/>
      <c r="I155" s="377"/>
    </row>
    <row r="156" spans="1:9">
      <c r="A156" s="162">
        <v>3</v>
      </c>
      <c r="B156" s="376"/>
      <c r="C156" s="374"/>
      <c r="D156" s="375"/>
      <c r="E156" s="375"/>
      <c r="F156" s="375"/>
      <c r="G156" s="375"/>
      <c r="H156" s="375"/>
      <c r="I156" s="377"/>
    </row>
    <row r="157" spans="1:9" s="724" customFormat="1">
      <c r="A157" s="162">
        <v>4</v>
      </c>
      <c r="B157" s="376"/>
      <c r="C157" s="374"/>
      <c r="D157" s="375"/>
      <c r="E157" s="375"/>
      <c r="F157" s="375"/>
      <c r="G157" s="375"/>
      <c r="H157" s="375"/>
      <c r="I157" s="377"/>
    </row>
    <row r="158" spans="1:9" ht="15" thickBot="1">
      <c r="A158" s="162">
        <v>5</v>
      </c>
      <c r="B158" s="378"/>
      <c r="C158" s="379"/>
      <c r="D158" s="380"/>
      <c r="E158" s="380"/>
      <c r="F158" s="380"/>
      <c r="G158" s="380"/>
      <c r="H158" s="380"/>
      <c r="I158" s="381"/>
    </row>
  </sheetData>
  <sheetProtection algorithmName="SHA-512" hashValue="anwRUEx8T5zlmjhMt6FJ3pd1fAvPoSCUe7/8HLUQr5T3AG6Fmp3ZK9T2Kh4ECYFVXPQQxT8/l1l1PWmqWxmTOA==" saltValue="umWfyJfcY7KyagYx7wUNdA==" spinCount="100000" sheet="1" objects="1" scenarios="1"/>
  <protectedRanges>
    <protectedRange sqref="B154:I158" name="Userdefined"/>
  </protectedRanges>
  <mergeCells count="2">
    <mergeCell ref="F4:H4"/>
    <mergeCell ref="F5:H5"/>
  </mergeCells>
  <hyperlinks>
    <hyperlink ref="I2" location="'Plant Salt Tolerance'!B2" display="Return to Plant Salt Tolerance Page" xr:uid="{00000000-0004-0000-0800-000000000000}"/>
  </hyperlinks>
  <pageMargins left="0.23622047244094488" right="0.23622047244094488" top="0.23622047244094488" bottom="0.23622047244094488" header="0.31496062992125984" footer="0.31496062992125984"/>
  <pageSetup paperSize="9" scale="92" fitToHeight="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Front Page</vt:lpstr>
      <vt:lpstr>Instructions</vt:lpstr>
      <vt:lpstr>Quick Calculator</vt:lpstr>
      <vt:lpstr>Predictive Calculator</vt:lpstr>
      <vt:lpstr>Plant Salt Tolerance</vt:lpstr>
      <vt:lpstr>Soil Water Parameters</vt:lpstr>
      <vt:lpstr>Mixing Waters</vt:lpstr>
      <vt:lpstr>Plants by Category</vt:lpstr>
      <vt:lpstr>Plants by Tolerance</vt:lpstr>
      <vt:lpstr>Background &amp; Theory</vt:lpstr>
      <vt:lpstr>Limitations and Disclaimer</vt:lpstr>
      <vt:lpstr>Sheet1</vt:lpstr>
      <vt:lpstr>Abbreviations and Glossary</vt:lpstr>
      <vt:lpstr>Equations</vt:lpstr>
      <vt:lpstr>Reference Lists&amp;Tables</vt:lpstr>
      <vt:lpstr>'Abbreviations and Glossary'!_Hlk15986462</vt:lpstr>
      <vt:lpstr>Equations!Print_Area</vt:lpstr>
      <vt:lpstr>'Front Page'!Print_Area</vt:lpstr>
      <vt:lpstr>Instructions!Print_Area</vt:lpstr>
      <vt:lpstr>'Limitations and Disclaimer'!Print_Area</vt:lpstr>
      <vt:lpstr>'Mixing Waters'!Print_Area</vt:lpstr>
      <vt:lpstr>'Plant Salt Tolerance'!Print_Area</vt:lpstr>
      <vt:lpstr>'Predictive Calculator'!Print_Area</vt:lpstr>
      <vt:lpstr>'Quick Calculator'!Print_Area</vt:lpstr>
      <vt:lpstr>'Soil Water Parameters'!Print_Area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Southerncross</dc:creator>
  <cp:lastModifiedBy>Roger Shaw</cp:lastModifiedBy>
  <cp:lastPrinted>2021-02-09T05:14:40Z</cp:lastPrinted>
  <dcterms:created xsi:type="dcterms:W3CDTF">2014-03-04T10:20:07Z</dcterms:created>
  <dcterms:modified xsi:type="dcterms:W3CDTF">2022-02-17T22:30:01Z</dcterms:modified>
</cp:coreProperties>
</file>